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1427\Downloads\"/>
    </mc:Choice>
  </mc:AlternateContent>
  <bookViews>
    <workbookView xWindow="0" yWindow="0" windowWidth="20490" windowHeight="7560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'領収書貼付台紙（領収書あり）'!$A$1:$M$47</definedName>
    <definedName name="_xlnm.Print_Area" localSheetId="6">'領収書貼付台紙（領収書なし）'!$A$1:$M$47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D4" i="1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H2" i="12" l="1"/>
  <c r="H2" i="11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AN25" i="10" l="1"/>
  <c r="AN23" i="10"/>
  <c r="AN21" i="10"/>
  <c r="AN19" i="10"/>
  <c r="AN15" i="10"/>
  <c r="AD2" i="10"/>
  <c r="AN25" i="7"/>
  <c r="AN23" i="7"/>
  <c r="AN21" i="7"/>
  <c r="AN19" i="7"/>
  <c r="AN15" i="7"/>
  <c r="AD2" i="7"/>
  <c r="E1" i="3"/>
  <c r="H37" i="4"/>
  <c r="D34" i="6"/>
  <c r="B29" i="4"/>
  <c r="C13" i="6" s="1"/>
  <c r="D3" i="1"/>
  <c r="AN7" i="10" s="1"/>
  <c r="H29" i="4"/>
  <c r="C23" i="6" s="1"/>
  <c r="K31" i="4"/>
  <c r="C30" i="6" s="1"/>
  <c r="K30" i="4"/>
  <c r="C29" i="6" s="1"/>
  <c r="K29" i="4"/>
  <c r="C28" i="6" s="1"/>
  <c r="H33" i="4"/>
  <c r="H32" i="4"/>
  <c r="H31" i="4"/>
  <c r="C25" i="6" s="1"/>
  <c r="H30" i="4"/>
  <c r="C24" i="6" s="1"/>
  <c r="B34" i="4"/>
  <c r="C21" i="6" s="1"/>
  <c r="B33" i="4"/>
  <c r="C17" i="6" s="1"/>
  <c r="B32" i="4"/>
  <c r="C16" i="6" s="1"/>
  <c r="B31" i="4"/>
  <c r="C15" i="6" s="1"/>
  <c r="B30" i="4"/>
  <c r="C14" i="6" s="1"/>
  <c r="AN9" i="7"/>
  <c r="D5" i="1"/>
  <c r="AN11" i="7" s="1"/>
  <c r="D6" i="1"/>
  <c r="AN13" i="7" s="1"/>
  <c r="D7" i="1"/>
  <c r="D8" i="1"/>
  <c r="AN17" i="10" s="1"/>
  <c r="AX17" i="10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N11" i="10" l="1"/>
  <c r="AT11" i="10" s="1"/>
  <c r="AN13" i="10"/>
  <c r="AP13" i="10" s="1"/>
  <c r="AN7" i="7"/>
  <c r="AV7" i="7" s="1"/>
  <c r="AN9" i="10"/>
  <c r="AV9" i="10" s="1"/>
  <c r="AX21" i="7"/>
  <c r="AR11" i="7"/>
  <c r="AT13" i="7"/>
  <c r="AZ17" i="10"/>
  <c r="AZ19" i="10"/>
  <c r="AT17" i="10"/>
  <c r="AZ7" i="10"/>
  <c r="AV19" i="10"/>
  <c r="AX21" i="10"/>
  <c r="AZ23" i="10"/>
  <c r="AV17" i="10"/>
  <c r="AX19" i="10"/>
  <c r="AZ21" i="10"/>
  <c r="AR15" i="10"/>
  <c r="AT15" i="10"/>
  <c r="AV15" i="10"/>
  <c r="AX15" i="10"/>
  <c r="AZ15" i="10"/>
  <c r="AP9" i="10"/>
  <c r="AP25" i="10"/>
  <c r="AP7" i="10"/>
  <c r="AP23" i="10"/>
  <c r="AR25" i="10"/>
  <c r="AR7" i="10"/>
  <c r="AT9" i="10"/>
  <c r="AT25" i="10"/>
  <c r="AT7" i="10"/>
  <c r="AP19" i="10"/>
  <c r="AR21" i="10"/>
  <c r="AT23" i="10"/>
  <c r="AV25" i="10"/>
  <c r="AR9" i="10"/>
  <c r="AP21" i="10"/>
  <c r="AV7" i="10"/>
  <c r="AX9" i="10"/>
  <c r="AP17" i="10"/>
  <c r="AR19" i="10"/>
  <c r="AT21" i="10"/>
  <c r="AV23" i="10"/>
  <c r="AX25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P7" i="7"/>
  <c r="AR7" i="7"/>
  <c r="AT7" i="7"/>
  <c r="AZ7" i="7"/>
  <c r="AP11" i="7"/>
  <c r="D23" i="1"/>
  <c r="C26" i="6"/>
  <c r="K26" i="4"/>
  <c r="K8" i="4" s="1"/>
  <c r="E26" i="4"/>
  <c r="E8" i="4" s="1"/>
  <c r="H26" i="4"/>
  <c r="H8" i="4" s="1"/>
  <c r="AV11" i="10" l="1"/>
  <c r="AR11" i="10"/>
  <c r="AX7" i="7"/>
  <c r="AZ11" i="10"/>
  <c r="AX11" i="10"/>
  <c r="AV13" i="10"/>
  <c r="AV27" i="10" s="1"/>
  <c r="G20" i="1" s="1"/>
  <c r="H20" i="1" s="1"/>
  <c r="AP11" i="10"/>
  <c r="AP27" i="10" s="1"/>
  <c r="G17" i="1" s="1"/>
  <c r="H17" i="1" s="1"/>
  <c r="AT13" i="10"/>
  <c r="AT27" i="10" s="1"/>
  <c r="G19" i="1" s="1"/>
  <c r="H19" i="1" s="1"/>
  <c r="AR13" i="10"/>
  <c r="AZ13" i="10"/>
  <c r="AX13" i="10"/>
  <c r="AX27" i="10" s="1"/>
  <c r="G21" i="1" s="1"/>
  <c r="H21" i="1" s="1"/>
  <c r="B26" i="4"/>
  <c r="AX17" i="7"/>
  <c r="AX27" i="7" s="1"/>
  <c r="G15" i="1" s="1"/>
  <c r="H15" i="1" s="1"/>
  <c r="AT17" i="7"/>
  <c r="AT27" i="7" s="1"/>
  <c r="G13" i="1" s="1"/>
  <c r="H13" i="1" s="1"/>
  <c r="AV17" i="7"/>
  <c r="AV27" i="7" s="1"/>
  <c r="G14" i="1" s="1"/>
  <c r="H14" i="1" s="1"/>
  <c r="AP17" i="7"/>
  <c r="AP27" i="7" s="1"/>
  <c r="G11" i="1" s="1"/>
  <c r="H11" i="1" s="1"/>
  <c r="AR17" i="7"/>
  <c r="AR27" i="7" s="1"/>
  <c r="G12" i="1" s="1"/>
  <c r="H12" i="1" s="1"/>
  <c r="AZ27" i="7"/>
  <c r="G16" i="1" s="1"/>
  <c r="H16" i="1" s="1"/>
  <c r="C22" i="6"/>
  <c r="C31" i="6" s="1"/>
  <c r="AR27" i="10" l="1"/>
  <c r="G18" i="1" s="1"/>
  <c r="H18" i="1" s="1"/>
  <c r="AZ27" i="10"/>
  <c r="G22" i="1" s="1"/>
  <c r="H22" i="1" s="1"/>
  <c r="H23" i="1" s="1"/>
  <c r="E4" i="4" l="1"/>
  <c r="C6" i="6" l="1"/>
  <c r="C9" i="6" s="1"/>
</calcChain>
</file>

<file path=xl/sharedStrings.xml><?xml version="1.0" encoding="utf-8"?>
<sst xmlns="http://schemas.openxmlformats.org/spreadsheetml/2006/main" count="334" uniqueCount="154">
  <si>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</si>
  <si>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</si>
  <si>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</si>
  <si>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</si>
  <si>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</si>
  <si>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</si>
  <si>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</si>
  <si>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</si>
  <si>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</si>
  <si>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</si>
  <si>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</si>
  <si>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</si>
  <si>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</si>
  <si>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</si>
  <si>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</si>
  <si>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</si>
  <si>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</si>
  <si>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</si>
  <si>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</si>
  <si>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</si>
  <si>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</si>
  <si>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</si>
  <si>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</si>
  <si>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</si>
  <si>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</si>
  <si>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</si>
  <si>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</si>
  <si>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</si>
  <si>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１～４人</t>
  </si>
  <si>
    <t>月額３，０００円</t>
  </si>
  <si>
    <t>５～９人</t>
  </si>
  <si>
    <t>月額６，５００円</t>
  </si>
  <si>
    <t>１０人以上</t>
  </si>
  <si>
    <t>月額１１，０００円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</si>
  <si>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</si>
  <si>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</si>
  <si>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</si>
  <si>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</si>
  <si>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</si>
  <si>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</si>
  <si>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</si>
  <si>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</si>
  <si>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</si>
  <si>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</si>
  <si>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</si>
  <si>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</si>
  <si>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</si>
  <si>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</si>
  <si>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</si>
  <si>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</si>
  <si>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</si>
  <si>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</si>
  <si>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</si>
  <si>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</si>
  <si>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</si>
  <si>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</si>
  <si>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○訪問型住民主体サービス（支出明細）</t>
    <rPh sb="1" eb="8">
      <t>ホウモンガタジュウミンシュタイ</t>
    </rPh>
    <rPh sb="13" eb="15">
      <t>シシュツ</t>
    </rPh>
    <rPh sb="15" eb="17">
      <t>メイサイ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</si>
  <si>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</si>
  <si>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</si>
  <si>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</si>
  <si>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〇訪問型住民主体サービス（支出合計）</t>
    <rPh sb="1" eb="8">
      <t>ホウモンガタジュウミンシュタイ</t>
    </rPh>
    <rPh sb="13" eb="17">
      <t>シシュツゴウケイ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</si>
  <si>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</si>
  <si>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</si>
  <si>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</si>
  <si>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</si>
  <si>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</si>
  <si>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</si>
  <si>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</si>
  <si>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</si>
  <si>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</si>
  <si>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</si>
  <si>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</si>
  <si>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</si>
  <si>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</si>
  <si>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</si>
  <si>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</si>
  <si>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</si>
  <si>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</si>
  <si>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</si>
  <si>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</si>
  <si>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</si>
  <si>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</si>
  <si>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</si>
  <si>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</si>
  <si>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</si>
  <si>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</si>
  <si>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</si>
  <si>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</si>
  <si>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</si>
  <si>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</si>
  <si>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</si>
  <si>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</si>
  <si>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</si>
  <si>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</si>
  <si>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</si>
  <si>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</si>
  <si>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</si>
  <si>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</si>
  <si>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</si>
  <si>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</si>
  <si>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</si>
  <si>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</si>
  <si>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</si>
  <si>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</si>
  <si>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</si>
  <si>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</si>
  <si>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</si>
  <si>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</si>
  <si>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</si>
  <si>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-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</si>
  <si>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</si>
  <si>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</si>
  <si>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</si>
  <si>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</si>
  <si>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</si>
  <si>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</si>
  <si>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</si>
  <si>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</si>
  <si>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</si>
  <si>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</si>
  <si>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</si>
  <si>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</si>
  <si>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</si>
  <si>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</si>
  <si>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</si>
  <si>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</si>
  <si>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</si>
  <si>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</si>
  <si>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</si>
  <si>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</si>
  <si>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</si>
  <si>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</si>
  <si>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</si>
  <si>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事業報告書（■訪問型住民主体サービス 　□通所型住民主体サービス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</si>
  <si>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</si>
  <si>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</si>
  <si>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</si>
  <si>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</si>
  <si>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</si>
  <si>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～</t>
    <phoneticPr fontId="1"/>
  </si>
  <si>
    <t xml:space="preserve">
</t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</si>
  <si>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</si>
  <si>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氏名</t>
    <rPh sb="0" eb="2">
      <t>シメイ</t>
    </rPh>
    <phoneticPr fontId="1"/>
  </si>
  <si>
    <t>受領印</t>
    <rPh sb="0" eb="3">
      <t>ジュリョウイン</t>
    </rPh>
    <phoneticPr fontId="1"/>
  </si>
  <si>
    <t>※各領収書の宛名，金額等がきちんと見えるように貼り付けてください。</t>
    <rPh sb="11" eb="12">
      <t>トウ</t>
    </rPh>
    <phoneticPr fontId="15"/>
  </si>
  <si>
    <t>令和　　　年度</t>
    <rPh sb="0" eb="2">
      <t>レイワ</t>
    </rPh>
    <phoneticPr fontId="1"/>
  </si>
  <si>
    <t>2/2</t>
    <phoneticPr fontId="1"/>
  </si>
  <si>
    <t>1/2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</si>
  <si>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</si>
  <si>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.4</t>
    <phoneticPr fontId="1"/>
  </si>
  <si>
    <t>.3</t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</si>
  <si>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</si>
  <si>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</si>
  <si>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補助金限度額合計</t>
    <rPh sb="0" eb="3">
      <t>ホジョキン</t>
    </rPh>
    <rPh sb="3" eb="5">
      <t>ゲンド</t>
    </rPh>
    <rPh sb="5" eb="6">
      <t>ガク</t>
    </rPh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</si>
</sst>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_ "/>
    <numFmt numFmtId="178" formatCode="[$-411]ge\.m\.d;@"/>
    <numFmt numFmtId="179" formatCode="[$-411]ggge&quot;年&quot;m&quot;月&quot;d&quot;日&quot;;@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</cellStyleXfs>
  <cellXfs count="32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8" fillId="0" borderId="4" xfId="0" applyFont="1" applyBorder="1" applyAlignment="1"/>
    <xf numFmtId="0" fontId="24" fillId="0" borderId="4" xfId="0" applyFont="1" applyBorder="1" applyAlignment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9" fillId="0" borderId="6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0" fillId="0" borderId="33" xfId="0" applyBorder="1">
      <alignment vertical="center"/>
    </xf>
    <xf numFmtId="0" fontId="0" fillId="0" borderId="23" xfId="0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 wrapText="1"/>
    </xf>
    <xf numFmtId="0" fontId="41" fillId="4" borderId="1" xfId="0" applyFont="1" applyFill="1" applyBorder="1" applyAlignment="1" applyProtection="1">
      <alignment horizontal="center" vertical="center"/>
      <protection locked="0"/>
    </xf>
    <xf numFmtId="178" fontId="41" fillId="4" borderId="1" xfId="0" applyNumberFormat="1" applyFont="1" applyFill="1" applyBorder="1" applyAlignment="1">
      <alignment horizontal="center" vertical="center"/>
    </xf>
    <xf numFmtId="56" fontId="41" fillId="4" borderId="1" xfId="0" applyNumberFormat="1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shrinkToFit="1"/>
    </xf>
    <xf numFmtId="177" fontId="41" fillId="4" borderId="1" xfId="0" applyNumberFormat="1" applyFont="1" applyFill="1" applyBorder="1" applyAlignment="1">
      <alignment horizontal="right" vertical="center"/>
    </xf>
    <xf numFmtId="177" fontId="41" fillId="4" borderId="1" xfId="0" applyNumberFormat="1" applyFont="1" applyFill="1" applyBorder="1">
      <alignment vertical="center"/>
    </xf>
    <xf numFmtId="178" fontId="41" fillId="4" borderId="1" xfId="0" applyNumberFormat="1" applyFont="1" applyFill="1" applyBorder="1">
      <alignment vertical="center"/>
    </xf>
    <xf numFmtId="0" fontId="41" fillId="4" borderId="1" xfId="0" applyFont="1" applyFill="1" applyBorder="1">
      <alignment vertical="center"/>
    </xf>
    <xf numFmtId="38" fontId="12" fillId="2" borderId="12" xfId="1" applyFont="1" applyFill="1" applyBorder="1" applyAlignment="1" applyProtection="1">
      <alignment vertical="center"/>
    </xf>
    <xf numFmtId="176" fontId="12" fillId="0" borderId="1" xfId="1" applyNumberFormat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4" borderId="1" xfId="1" applyFont="1" applyFill="1" applyBorder="1" applyAlignment="1" applyProtection="1">
      <alignment vertical="center" wrapText="1"/>
      <protection locked="0"/>
    </xf>
    <xf numFmtId="38" fontId="12" fillId="0" borderId="1" xfId="1" applyFont="1" applyFill="1" applyBorder="1" applyAlignment="1">
      <alignment vertical="center" wrapText="1"/>
    </xf>
    <xf numFmtId="38" fontId="12" fillId="0" borderId="1" xfId="1" applyFont="1" applyFill="1" applyBorder="1" applyAlignment="1">
      <alignment vertical="center"/>
    </xf>
    <xf numFmtId="38" fontId="12" fillId="4" borderId="1" xfId="1" applyFont="1" applyFill="1" applyBorder="1" applyAlignment="1" applyProtection="1">
      <alignment vertical="center"/>
      <protection locked="0"/>
    </xf>
    <xf numFmtId="38" fontId="12" fillId="0" borderId="7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vertical="center" wrapText="1"/>
    </xf>
    <xf numFmtId="176" fontId="12" fillId="0" borderId="18" xfId="1" applyNumberFormat="1" applyFont="1" applyFill="1" applyBorder="1" applyAlignment="1">
      <alignment vertical="center"/>
    </xf>
    <xf numFmtId="0" fontId="36" fillId="6" borderId="2" xfId="0" applyFont="1" applyFill="1" applyBorder="1" applyAlignment="1">
      <alignment horizontal="center" vertical="center"/>
    </xf>
    <xf numFmtId="49" fontId="18" fillId="6" borderId="38" xfId="0" applyNumberFormat="1" applyFont="1" applyFill="1" applyBorder="1" applyAlignment="1">
      <alignment horizontal="distributed" vertical="center"/>
    </xf>
    <xf numFmtId="0" fontId="36" fillId="6" borderId="9" xfId="0" applyFont="1" applyFill="1" applyBorder="1" applyAlignment="1">
      <alignment horizontal="distributed" vertical="center"/>
    </xf>
    <xf numFmtId="0" fontId="30" fillId="6" borderId="9" xfId="0" applyFont="1" applyFill="1" applyBorder="1" applyAlignment="1">
      <alignment horizontal="distributed" vertical="center"/>
    </xf>
    <xf numFmtId="49" fontId="18" fillId="6" borderId="25" xfId="0" applyNumberFormat="1" applyFont="1" applyFill="1" applyBorder="1" applyAlignment="1">
      <alignment horizontal="distributed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 vertical="center"/>
    </xf>
    <xf numFmtId="0" fontId="35" fillId="6" borderId="29" xfId="0" applyFont="1" applyFill="1" applyBorder="1" applyAlignment="1">
      <alignment horizontal="center" vertical="center"/>
    </xf>
    <xf numFmtId="0" fontId="27" fillId="6" borderId="29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30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distributed" vertical="center"/>
    </xf>
    <xf numFmtId="0" fontId="35" fillId="6" borderId="22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0" fillId="7" borderId="5" xfId="0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alignment horizontal="right" vertical="center"/>
      <protection locked="0"/>
    </xf>
    <xf numFmtId="176" fontId="12" fillId="0" borderId="1" xfId="2" applyNumberFormat="1" applyFont="1" applyFill="1" applyBorder="1" applyAlignment="1">
      <alignment vertical="center" shrinkToFit="1"/>
    </xf>
    <xf numFmtId="38" fontId="12" fillId="4" borderId="1" xfId="2" applyFont="1" applyFill="1" applyBorder="1" applyAlignment="1" applyProtection="1">
      <alignment vertical="center" wrapText="1"/>
      <protection locked="0"/>
    </xf>
    <xf numFmtId="38" fontId="12" fillId="4" borderId="1" xfId="2" applyFont="1" applyFill="1" applyBorder="1" applyAlignment="1" applyProtection="1">
      <alignment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1" fillId="6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1" fillId="6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57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42" fillId="4" borderId="0" xfId="1" applyNumberFormat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3" fillId="6" borderId="36" xfId="0" applyFont="1" applyFill="1" applyBorder="1" applyAlignment="1">
      <alignment horizontal="center" vertical="center"/>
    </xf>
    <xf numFmtId="0" fontId="34" fillId="6" borderId="41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5" fillId="0" borderId="38" xfId="0" applyFont="1" applyFill="1" applyBorder="1">
      <alignment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33" fillId="6" borderId="44" xfId="0" applyFont="1" applyFill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 wrapText="1"/>
    </xf>
    <xf numFmtId="0" fontId="18" fillId="6" borderId="44" xfId="0" applyFont="1" applyFill="1" applyBorder="1" applyAlignment="1">
      <alignment horizontal="center" vertical="center" wrapText="1"/>
    </xf>
    <xf numFmtId="0" fontId="24" fillId="6" borderId="40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24" fillId="6" borderId="47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4" fillId="6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4" fillId="6" borderId="51" xfId="0" applyFont="1" applyFill="1" applyBorder="1" applyAlignment="1">
      <alignment horizontal="center" vertical="center" wrapText="1"/>
    </xf>
    <xf numFmtId="0" fontId="24" fillId="6" borderId="52" xfId="0" applyFont="1" applyFill="1" applyBorder="1" applyAlignment="1">
      <alignment horizontal="center" vertical="center" wrapText="1"/>
    </xf>
    <xf numFmtId="0" fontId="24" fillId="6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4" fillId="6" borderId="42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5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8" fillId="6" borderId="37" xfId="0" applyFont="1" applyFill="1" applyBorder="1" applyAlignment="1">
      <alignment horizontal="center" vertical="center"/>
    </xf>
    <xf numFmtId="0" fontId="29" fillId="6" borderId="42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 wrapText="1"/>
    </xf>
    <xf numFmtId="0" fontId="28" fillId="6" borderId="42" xfId="0" applyFont="1" applyFill="1" applyBorder="1" applyAlignment="1">
      <alignment horizontal="center" vertical="center" wrapText="1"/>
    </xf>
    <xf numFmtId="0" fontId="29" fillId="6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1" fillId="6" borderId="61" xfId="0" applyFont="1" applyFill="1" applyBorder="1" applyAlignment="1" applyProtection="1">
      <alignment horizontal="center" vertical="center" wrapText="1"/>
      <protection locked="0"/>
    </xf>
    <xf numFmtId="0" fontId="32" fillId="6" borderId="61" xfId="0" applyFont="1" applyFill="1" applyBorder="1" applyAlignment="1" applyProtection="1">
      <alignment horizontal="center" vertical="center" wrapText="1"/>
      <protection locked="0"/>
    </xf>
    <xf numFmtId="0" fontId="31" fillId="6" borderId="61" xfId="0" applyFont="1" applyFill="1" applyBorder="1" applyAlignment="1" applyProtection="1">
      <alignment horizontal="center" vertical="center" shrinkToFit="1"/>
      <protection locked="0"/>
    </xf>
    <xf numFmtId="0" fontId="32" fillId="6" borderId="61" xfId="0" applyFont="1" applyFill="1" applyBorder="1" applyAlignment="1" applyProtection="1">
      <alignment horizontal="center" vertical="center" shrinkToFit="1"/>
      <protection locked="0"/>
    </xf>
    <xf numFmtId="177" fontId="24" fillId="0" borderId="54" xfId="0" applyNumberFormat="1" applyFont="1" applyBorder="1" applyAlignment="1" applyProtection="1">
      <alignment horizontal="center" vertical="center"/>
    </xf>
    <xf numFmtId="177" fontId="24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40" fillId="6" borderId="1" xfId="0" applyFont="1" applyFill="1" applyBorder="1" applyAlignment="1" applyProtection="1">
      <alignment horizontal="center" vertical="center" wrapText="1"/>
      <protection locked="0"/>
    </xf>
    <xf numFmtId="3" fontId="40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8" xfId="0" applyFont="1" applyFill="1" applyBorder="1" applyAlignment="1" applyProtection="1">
      <alignment horizontal="center" vertical="center" wrapText="1"/>
      <protection locked="0"/>
    </xf>
    <xf numFmtId="0" fontId="40" fillId="6" borderId="15" xfId="0" applyFont="1" applyFill="1" applyBorder="1" applyAlignment="1" applyProtection="1">
      <alignment horizontal="center" vertical="center" wrapText="1"/>
      <protection locked="0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15" xfId="0" applyFont="1" applyFill="1" applyBorder="1" applyAlignment="1" applyProtection="1">
      <alignment horizontal="center" vertical="center" wrapText="1"/>
      <protection locked="0"/>
    </xf>
    <xf numFmtId="0" fontId="9" fillId="6" borderId="66" xfId="0" applyFont="1" applyFill="1" applyBorder="1" applyAlignment="1" applyProtection="1">
      <alignment horizontal="center" vertical="center" wrapText="1"/>
      <protection locked="0"/>
    </xf>
    <xf numFmtId="0" fontId="31" fillId="6" borderId="61" xfId="0" applyFont="1" applyFill="1" applyBorder="1" applyAlignment="1">
      <alignment horizontal="center" vertical="center" wrapText="1"/>
    </xf>
    <xf numFmtId="0" fontId="32" fillId="6" borderId="61" xfId="0" applyFont="1" applyFill="1" applyBorder="1" applyAlignment="1">
      <alignment horizontal="center" vertical="center" wrapText="1"/>
    </xf>
    <xf numFmtId="0" fontId="31" fillId="6" borderId="61" xfId="0" applyFont="1" applyFill="1" applyBorder="1" applyAlignment="1">
      <alignment horizontal="center" vertical="center" shrinkToFit="1"/>
    </xf>
    <xf numFmtId="0" fontId="32" fillId="6" borderId="61" xfId="0" applyFont="1" applyFill="1" applyBorder="1" applyAlignment="1">
      <alignment horizontal="center" vertical="center" shrinkToFit="1"/>
    </xf>
    <xf numFmtId="177" fontId="24" fillId="0" borderId="54" xfId="0" applyNumberFormat="1" applyFont="1" applyBorder="1" applyAlignment="1">
      <alignment horizontal="center" vertical="center"/>
    </xf>
    <xf numFmtId="177" fontId="24" fillId="0" borderId="5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123825</xdr:rowOff>
    </xdr:from>
    <xdr:to>
      <xdr:col>10</xdr:col>
      <xdr:colOff>504824</xdr:colOff>
      <xdr:row>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849078-261D-4FCD-B6E4-00533A7351C6}"/>
            </a:ext>
          </a:extLst>
        </xdr:cNvPr>
        <xdr:cNvSpPr/>
      </xdr:nvSpPr>
      <xdr:spPr>
        <a:xfrm>
          <a:off x="5076825" y="12382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369793</xdr:colOff>
      <xdr:row>16</xdr:row>
      <xdr:rowOff>145678</xdr:rowOff>
    </xdr:from>
    <xdr:to>
      <xdr:col>11</xdr:col>
      <xdr:colOff>67234</xdr:colOff>
      <xdr:row>18</xdr:row>
      <xdr:rowOff>190502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8511C3-526D-4134-8F6B-C26559667D26}"/>
            </a:ext>
          </a:extLst>
        </xdr:cNvPr>
        <xdr:cNvSpPr/>
      </xdr:nvSpPr>
      <xdr:spPr>
        <a:xfrm>
          <a:off x="8370793" y="5356413"/>
          <a:ext cx="2779059" cy="806824"/>
        </a:xfrm>
        <a:prstGeom prst="wedgeRectCallout">
          <a:avLst>
            <a:gd name="adj1" fmla="val -61247"/>
            <a:gd name="adj2" fmla="val -373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39</v>
      </c>
    </row>
    <row r="2" spans="1:8">
      <c r="A2" s="41"/>
      <c r="B2" s="40" t="s">
        <v>0</v>
      </c>
      <c r="C2" s="40" t="s">
        <v>25</v>
      </c>
      <c r="D2" s="40" t="s">
        <v>26</v>
      </c>
      <c r="F2" s="177" t="s">
        <v>35</v>
      </c>
      <c r="G2" s="177" t="s">
        <v>34</v>
      </c>
      <c r="H2" s="178" t="s">
        <v>36</v>
      </c>
    </row>
    <row r="3" spans="1:8">
      <c r="A3" s="1">
        <v>1</v>
      </c>
      <c r="B3" s="112"/>
      <c r="C3" s="112"/>
      <c r="D3" s="10" t="str">
        <f>IF(OR(C3="事業対象者",C3="要支援1", C3="要支援2"), "〇", "")</f>
        <v/>
      </c>
      <c r="F3" s="177"/>
      <c r="G3" s="177"/>
      <c r="H3" s="178"/>
    </row>
    <row r="4" spans="1:8" ht="18.75" customHeight="1">
      <c r="A4" s="1">
        <v>2</v>
      </c>
      <c r="B4" s="112"/>
      <c r="C4" s="112"/>
      <c r="D4" s="10" t="str">
        <f>IF(OR(C4="事業対象者",C4="要支援1", C4="要支援2"), "〇", "")</f>
        <v/>
      </c>
      <c r="F4" s="177"/>
      <c r="G4" s="177"/>
      <c r="H4" s="178"/>
    </row>
    <row r="5" spans="1:8" ht="18.75" customHeight="1">
      <c r="A5" s="1">
        <v>3</v>
      </c>
      <c r="B5" s="112"/>
      <c r="C5" s="112"/>
      <c r="D5" s="10" t="str">
        <f t="shared" ref="D5:D22" si="0">IF(OR(C5="事業対象者",C5="要支援1", C5="要支援2"), "〇", "")</f>
        <v/>
      </c>
      <c r="F5" s="176" t="s">
        <v>27</v>
      </c>
      <c r="G5" s="12" t="s">
        <v>28</v>
      </c>
      <c r="H5" s="13" t="s">
        <v>29</v>
      </c>
    </row>
    <row r="6" spans="1:8" ht="18.75" customHeight="1">
      <c r="A6" s="1">
        <v>4</v>
      </c>
      <c r="B6" s="112"/>
      <c r="C6" s="112"/>
      <c r="D6" s="10" t="str">
        <f t="shared" si="0"/>
        <v/>
      </c>
      <c r="F6" s="176"/>
      <c r="G6" s="12" t="s">
        <v>30</v>
      </c>
      <c r="H6" s="13" t="s">
        <v>31</v>
      </c>
    </row>
    <row r="7" spans="1:8" ht="18.75" customHeight="1">
      <c r="A7" s="1">
        <v>5</v>
      </c>
      <c r="B7" s="112"/>
      <c r="C7" s="112"/>
      <c r="D7" s="10" t="str">
        <f t="shared" si="0"/>
        <v/>
      </c>
      <c r="F7" s="176"/>
      <c r="G7" s="12" t="s">
        <v>32</v>
      </c>
      <c r="H7" s="13" t="s">
        <v>33</v>
      </c>
    </row>
    <row r="8" spans="1:8">
      <c r="A8" s="1">
        <v>6</v>
      </c>
      <c r="B8" s="112"/>
      <c r="C8" s="112"/>
      <c r="D8" s="10" t="str">
        <f t="shared" si="0"/>
        <v/>
      </c>
      <c r="F8" s="15"/>
      <c r="G8" s="15"/>
      <c r="H8" s="16"/>
    </row>
    <row r="9" spans="1:8">
      <c r="A9" s="1">
        <v>7</v>
      </c>
      <c r="B9" s="112"/>
      <c r="C9" s="112"/>
      <c r="D9" s="10" t="str">
        <f t="shared" si="0"/>
        <v/>
      </c>
      <c r="F9" t="s">
        <v>55</v>
      </c>
    </row>
    <row r="10" spans="1:8">
      <c r="A10" s="1">
        <v>8</v>
      </c>
      <c r="B10" s="42"/>
      <c r="C10" s="42"/>
      <c r="D10" s="10" t="str">
        <f t="shared" si="0"/>
        <v/>
      </c>
      <c r="F10" s="41"/>
      <c r="G10" s="40" t="s">
        <v>37</v>
      </c>
      <c r="H10" s="40" t="s">
        <v>38</v>
      </c>
    </row>
    <row r="11" spans="1:8">
      <c r="A11" s="1">
        <v>9</v>
      </c>
      <c r="B11" s="42"/>
      <c r="C11" s="42"/>
      <c r="D11" s="10" t="str">
        <f t="shared" si="0"/>
        <v/>
      </c>
      <c r="F11" s="7" t="s">
        <v>40</v>
      </c>
      <c r="G11" s="43">
        <f>'事業報告書（4月～9月）'!AP27</f>
        <v>0</v>
      </c>
      <c r="H11" s="44">
        <f>IF(G11=0, 0, IF(G11&lt;=4, 3000, IF(G11&lt;=9, 6500, 11000)))</f>
        <v>0</v>
      </c>
    </row>
    <row r="12" spans="1:8">
      <c r="A12" s="1">
        <v>10</v>
      </c>
      <c r="B12" s="42"/>
      <c r="C12" s="42"/>
      <c r="D12" s="10" t="str">
        <f t="shared" si="0"/>
        <v/>
      </c>
      <c r="F12" s="7" t="s">
        <v>41</v>
      </c>
      <c r="G12" s="43">
        <f>'事業報告書（4月～9月）'!AR27</f>
        <v>0</v>
      </c>
      <c r="H12" s="44">
        <f t="shared" ref="H12:H22" si="1">IF(G12=0, 0, IF(G12&lt;=4, 3000, IF(G12&lt;=9, 6500, 11000)))</f>
        <v>0</v>
      </c>
    </row>
    <row r="13" spans="1:8">
      <c r="A13" s="1">
        <v>11</v>
      </c>
      <c r="B13" s="42"/>
      <c r="C13" s="42"/>
      <c r="D13" s="10" t="str">
        <f t="shared" si="0"/>
        <v/>
      </c>
      <c r="F13" s="7" t="s">
        <v>42</v>
      </c>
      <c r="G13" s="43">
        <f>'事業報告書（4月～9月）'!AT27</f>
        <v>0</v>
      </c>
      <c r="H13" s="44">
        <f t="shared" si="1"/>
        <v>0</v>
      </c>
    </row>
    <row r="14" spans="1:8">
      <c r="A14" s="1">
        <v>12</v>
      </c>
      <c r="B14" s="42"/>
      <c r="C14" s="42"/>
      <c r="D14" s="10" t="str">
        <f t="shared" si="0"/>
        <v/>
      </c>
      <c r="F14" s="7" t="s">
        <v>43</v>
      </c>
      <c r="G14" s="43">
        <f>'事業報告書（4月～9月）'!AV27</f>
        <v>0</v>
      </c>
      <c r="H14" s="44">
        <f t="shared" si="1"/>
        <v>0</v>
      </c>
    </row>
    <row r="15" spans="1:8">
      <c r="A15" s="1">
        <v>13</v>
      </c>
      <c r="B15" s="42"/>
      <c r="C15" s="42"/>
      <c r="D15" s="10" t="str">
        <f t="shared" si="0"/>
        <v/>
      </c>
      <c r="F15" s="7" t="s">
        <v>44</v>
      </c>
      <c r="G15" s="43">
        <f>'事業報告書（4月～9月）'!AX27</f>
        <v>0</v>
      </c>
      <c r="H15" s="44">
        <f t="shared" si="1"/>
        <v>0</v>
      </c>
    </row>
    <row r="16" spans="1:8">
      <c r="A16" s="1">
        <v>14</v>
      </c>
      <c r="B16" s="42"/>
      <c r="C16" s="42"/>
      <c r="D16" s="10" t="str">
        <f t="shared" si="0"/>
        <v/>
      </c>
      <c r="F16" s="7" t="s">
        <v>45</v>
      </c>
      <c r="G16" s="43">
        <f>'事業報告書（4月～9月）'!AZ27</f>
        <v>0</v>
      </c>
      <c r="H16" s="44">
        <f t="shared" si="1"/>
        <v>0</v>
      </c>
    </row>
    <row r="17" spans="1:8">
      <c r="A17" s="1">
        <v>15</v>
      </c>
      <c r="B17" s="42"/>
      <c r="C17" s="42"/>
      <c r="D17" s="10" t="str">
        <f t="shared" si="0"/>
        <v/>
      </c>
      <c r="F17" s="7" t="s">
        <v>46</v>
      </c>
      <c r="G17" s="43">
        <f>'事業報告書（10月～3月）'!AP27</f>
        <v>0</v>
      </c>
      <c r="H17" s="44">
        <f t="shared" si="1"/>
        <v>0</v>
      </c>
    </row>
    <row r="18" spans="1:8">
      <c r="A18" s="1">
        <v>16</v>
      </c>
      <c r="B18" s="42"/>
      <c r="C18" s="42"/>
      <c r="D18" s="10" t="str">
        <f t="shared" si="0"/>
        <v/>
      </c>
      <c r="F18" s="7" t="s">
        <v>47</v>
      </c>
      <c r="G18" s="43">
        <f>'事業報告書（10月～3月）'!AR27</f>
        <v>0</v>
      </c>
      <c r="H18" s="44">
        <f t="shared" si="1"/>
        <v>0</v>
      </c>
    </row>
    <row r="19" spans="1:8">
      <c r="A19" s="1">
        <v>17</v>
      </c>
      <c r="B19" s="42"/>
      <c r="C19" s="42"/>
      <c r="D19" s="10" t="str">
        <f t="shared" si="0"/>
        <v/>
      </c>
      <c r="F19" s="7" t="s">
        <v>48</v>
      </c>
      <c r="G19" s="43">
        <f>'事業報告書（10月～3月）'!AT27</f>
        <v>0</v>
      </c>
      <c r="H19" s="44">
        <f t="shared" si="1"/>
        <v>0</v>
      </c>
    </row>
    <row r="20" spans="1:8">
      <c r="A20" s="1">
        <v>18</v>
      </c>
      <c r="B20" s="42"/>
      <c r="C20" s="42"/>
      <c r="D20" s="10" t="str">
        <f t="shared" si="0"/>
        <v/>
      </c>
      <c r="F20" s="7" t="s">
        <v>50</v>
      </c>
      <c r="G20" s="43">
        <f>'事業報告書（10月～3月）'!AV27</f>
        <v>0</v>
      </c>
      <c r="H20" s="44">
        <f t="shared" si="1"/>
        <v>0</v>
      </c>
    </row>
    <row r="21" spans="1:8">
      <c r="A21" s="1">
        <v>19</v>
      </c>
      <c r="B21" s="42"/>
      <c r="C21" s="42"/>
      <c r="D21" s="10" t="str">
        <f t="shared" si="0"/>
        <v/>
      </c>
      <c r="F21" s="7" t="s">
        <v>52</v>
      </c>
      <c r="G21" s="43">
        <f>'事業報告書（10月～3月）'!AX27</f>
        <v>0</v>
      </c>
      <c r="H21" s="44">
        <f t="shared" si="1"/>
        <v>0</v>
      </c>
    </row>
    <row r="22" spans="1:8">
      <c r="A22" s="1">
        <v>20</v>
      </c>
      <c r="B22" s="42"/>
      <c r="C22" s="42"/>
      <c r="D22" s="10" t="str">
        <f t="shared" si="0"/>
        <v/>
      </c>
      <c r="F22" s="7" t="s">
        <v>54</v>
      </c>
      <c r="G22" s="43">
        <f>'事業報告書（10月～3月）'!AZ27</f>
        <v>0</v>
      </c>
      <c r="H22" s="44">
        <f t="shared" si="1"/>
        <v>0</v>
      </c>
    </row>
    <row r="23" spans="1:8">
      <c r="A23" s="14"/>
      <c r="D23" s="11">
        <f>COUNTIF(D3:D22,"〇")</f>
        <v>0</v>
      </c>
      <c r="G23" s="10" t="s">
        <v>153</v>
      </c>
      <c r="H23" s="44">
        <f>SUM(H11:H22)</f>
        <v>0</v>
      </c>
    </row>
    <row r="24" spans="1:8">
      <c r="D24" s="9"/>
    </row>
    <row r="25" spans="1:8">
      <c r="F25" s="18" t="s">
        <v>80</v>
      </c>
      <c r="G25" s="179"/>
      <c r="H25" s="179"/>
    </row>
    <row r="26" spans="1:8" ht="6.75" customHeight="1"/>
    <row r="27" spans="1:8">
      <c r="F27" s="18" t="s">
        <v>134</v>
      </c>
      <c r="G27" s="174"/>
      <c r="H27" s="175"/>
    </row>
  </sheetData>
  <sheetProtection algorithmName="SHA-512" hashValue="tnMpPp64quepmite83TaKOVP7an9px7RrvojVnBR6jomUgFPNeivmUg8deF2MtLPiDT9pUFnXM2GcANCHirDFA==" saltValue="VSxZSRqYSsxcq5W+jgB+wg==" spinCount="100000" sheet="1" objects="1" scenarios="1"/>
  <mergeCells count="6">
    <mergeCell ref="G27:H27"/>
    <mergeCell ref="F5:F7"/>
    <mergeCell ref="F2:F4"/>
    <mergeCell ref="G2:G4"/>
    <mergeCell ref="H2:H4"/>
    <mergeCell ref="G25:H25"/>
  </mergeCells>
  <phoneticPr fontId="1"/>
  <dataValidations count="1">
    <dataValidation type="list" allowBlank="1" showInputMessage="1" showErrorMessage="1" sqref="C3:C22">
      <formula1>"-,事業対象者,要支援1,要支援2"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O12" sqref="O12"/>
    </sheetView>
  </sheetViews>
  <sheetFormatPr defaultRowHeight="18.75"/>
  <cols>
    <col min="1" max="1" width="10" customWidth="1"/>
    <col min="2" max="2" width="10" style="45" customWidth="1"/>
    <col min="3" max="3" width="1.875" style="45" customWidth="1"/>
    <col min="4" max="5" width="10" style="45" customWidth="1"/>
    <col min="6" max="6" width="1.875" style="45" customWidth="1"/>
    <col min="7" max="8" width="10" style="45" customWidth="1"/>
    <col min="9" max="9" width="2" style="45" customWidth="1"/>
    <col min="10" max="11" width="10" style="45" customWidth="1"/>
    <col min="12" max="12" width="9" style="45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60</v>
      </c>
    </row>
    <row r="2" spans="1:17">
      <c r="A2" s="57"/>
      <c r="B2" s="58"/>
      <c r="C2" s="58"/>
      <c r="D2" s="58"/>
      <c r="E2" s="58"/>
      <c r="F2" s="58"/>
      <c r="G2" s="61"/>
      <c r="H2" s="183"/>
      <c r="I2" s="183"/>
      <c r="J2" s="183"/>
      <c r="K2" s="183"/>
    </row>
    <row r="4" spans="1:17">
      <c r="B4" s="185" t="s">
        <v>78</v>
      </c>
      <c r="C4" s="185"/>
      <c r="D4" s="185"/>
      <c r="E4" s="187">
        <f>FLOOR(B8+E8+H8+K8, 1000)</f>
        <v>0</v>
      </c>
      <c r="F4" s="188"/>
      <c r="G4" s="188"/>
      <c r="H4" s="188"/>
      <c r="I4" s="46"/>
      <c r="J4" s="46"/>
    </row>
    <row r="5" spans="1:17" ht="19.5">
      <c r="B5" s="186"/>
      <c r="C5" s="186"/>
      <c r="D5" s="186"/>
      <c r="E5" s="189"/>
      <c r="F5" s="189"/>
      <c r="G5" s="189"/>
      <c r="H5" s="189"/>
      <c r="I5" s="190" t="s">
        <v>79</v>
      </c>
      <c r="J5" s="190"/>
    </row>
    <row r="6" spans="1:17">
      <c r="M6" s="147" t="s">
        <v>148</v>
      </c>
      <c r="N6" s="148"/>
      <c r="O6" s="149"/>
      <c r="P6" s="148"/>
    </row>
    <row r="7" spans="1:17">
      <c r="A7" t="s">
        <v>5</v>
      </c>
      <c r="D7" s="45" t="s">
        <v>6</v>
      </c>
      <c r="G7" s="45" t="s">
        <v>7</v>
      </c>
      <c r="J7" s="45" t="s">
        <v>8</v>
      </c>
      <c r="M7" s="180" t="s">
        <v>151</v>
      </c>
      <c r="N7" s="181"/>
      <c r="O7" s="181"/>
      <c r="P7" s="181"/>
      <c r="Q7" s="182"/>
    </row>
    <row r="8" spans="1:17" ht="30.75" customHeight="1">
      <c r="A8" s="17" t="s">
        <v>78</v>
      </c>
      <c r="B8" s="48">
        <f>MIN(B26, 利用者名簿!H23)</f>
        <v>0</v>
      </c>
      <c r="D8" s="47" t="s">
        <v>78</v>
      </c>
      <c r="E8" s="48">
        <f>MIN(E26, E11)</f>
        <v>0</v>
      </c>
      <c r="G8" s="47" t="s">
        <v>78</v>
      </c>
      <c r="H8" s="48">
        <f>MIN(H26, H11)</f>
        <v>0</v>
      </c>
      <c r="J8" s="47" t="s">
        <v>78</v>
      </c>
      <c r="K8" s="48">
        <f>MIN(K26, K11)</f>
        <v>0</v>
      </c>
      <c r="M8" s="153">
        <v>2025</v>
      </c>
      <c r="N8" s="150" t="s">
        <v>149</v>
      </c>
      <c r="O8" s="151" t="s">
        <v>139</v>
      </c>
      <c r="P8" s="154">
        <v>2026</v>
      </c>
      <c r="Q8" s="152" t="s">
        <v>150</v>
      </c>
    </row>
    <row r="10" spans="1:17">
      <c r="A10" s="180" t="s">
        <v>38</v>
      </c>
      <c r="B10" s="182"/>
      <c r="D10" s="191" t="s">
        <v>38</v>
      </c>
      <c r="E10" s="192"/>
      <c r="G10" s="191" t="s">
        <v>38</v>
      </c>
      <c r="H10" s="192"/>
      <c r="J10" s="191" t="s">
        <v>38</v>
      </c>
      <c r="K10" s="192"/>
    </row>
    <row r="11" spans="1:17" ht="19.5" customHeight="1">
      <c r="A11" s="1" t="s">
        <v>62</v>
      </c>
      <c r="B11" s="10" t="s">
        <v>63</v>
      </c>
      <c r="D11" s="10" t="s">
        <v>61</v>
      </c>
      <c r="E11" s="44">
        <v>36000</v>
      </c>
      <c r="G11" s="10" t="s">
        <v>61</v>
      </c>
      <c r="H11" s="44">
        <v>300000</v>
      </c>
      <c r="J11" s="51" t="s">
        <v>110</v>
      </c>
      <c r="K11" s="44">
        <v>50000</v>
      </c>
    </row>
    <row r="13" spans="1:17" ht="22.5" customHeight="1">
      <c r="A13" s="6" t="s">
        <v>5</v>
      </c>
      <c r="B13" s="49" t="s">
        <v>57</v>
      </c>
      <c r="C13" s="50"/>
      <c r="D13" s="51" t="s">
        <v>6</v>
      </c>
      <c r="E13" s="52" t="s">
        <v>57</v>
      </c>
      <c r="F13" s="53"/>
      <c r="G13" s="51" t="s">
        <v>7</v>
      </c>
      <c r="H13" s="52" t="s">
        <v>58</v>
      </c>
      <c r="I13" s="53"/>
      <c r="J13" s="51" t="s">
        <v>8</v>
      </c>
      <c r="K13" s="52" t="s">
        <v>58</v>
      </c>
    </row>
    <row r="14" spans="1:17" ht="22.5" customHeight="1">
      <c r="A14" s="4" t="s">
        <v>40</v>
      </c>
      <c r="B14" s="44">
        <f>SUMIFS(支出明細!E:E,支出明細!C:C, "運営費", 支出明細!B:B, "&gt;=" &amp; DATE(M8, 4, 1), 支出明細!B:B, "&lt;=" &amp; DATE(M8, 4, 30))</f>
        <v>0</v>
      </c>
      <c r="C14" s="54"/>
      <c r="D14" s="10" t="s">
        <v>40</v>
      </c>
      <c r="E14" s="44">
        <f>SUMIFS(支出明細!E:E,支出明細!C:C, "特定研修費", 支出明細!B:B, "&gt;=" &amp; DATE(M8, 4, 1), 支出明細!B:B, "&lt;=" &amp; DATE(M8, 4, 30))</f>
        <v>0</v>
      </c>
      <c r="F14" s="54"/>
      <c r="G14" s="10" t="s">
        <v>40</v>
      </c>
      <c r="H14" s="44">
        <f>SUMIFS(支出明細!E:E,支出明細!C:C, "送迎活動費", 支出明細!B:B, "&gt;=" &amp; DATE(M8, 4, 1), 支出明細!B:B, "&lt;=" &amp; DATE(M8, 4, 30))</f>
        <v>0</v>
      </c>
      <c r="I14" s="54"/>
      <c r="J14" s="10" t="s">
        <v>40</v>
      </c>
      <c r="K14" s="44">
        <f>SUMIFS(支出明細!E:E,支出明細!C:C, "設立・更新費", 支出明細!B:B, "&gt;=" &amp; DATE(M8, 4, 1), 支出明細!B:B, "&lt;=" &amp; DATE(M8, 4, 30))</f>
        <v>0</v>
      </c>
    </row>
    <row r="15" spans="1:17" ht="22.5" customHeight="1">
      <c r="A15" s="4" t="s">
        <v>41</v>
      </c>
      <c r="B15" s="44">
        <f>SUMIFS(支出明細!E:E,支出明細!C:C, "運営費", 支出明細!B:B, "&gt;=" &amp; DATE(M8, 5, 1), 支出明細!B:B, "&lt;=" &amp; DATE(M8, 5, 31))</f>
        <v>0</v>
      </c>
      <c r="C15" s="54"/>
      <c r="D15" s="10" t="s">
        <v>41</v>
      </c>
      <c r="E15" s="44">
        <f>SUMIFS(支出明細!E:E,支出明細!C:C, "特定研修費", 支出明細!B:B, "&gt;=" &amp; DATE(M8, 5, 1), 支出明細!B:B, "&lt;=" &amp; DATE(M8, 5, 31))</f>
        <v>0</v>
      </c>
      <c r="F15" s="54"/>
      <c r="G15" s="10" t="s">
        <v>41</v>
      </c>
      <c r="H15" s="44">
        <f>SUMIFS(支出明細!E:E,支出明細!C:C, "送迎活動費", 支出明細!B:B, "&gt;=" &amp; DATE(M8, 5, 1), 支出明細!B:B, "&lt;=" &amp; DATE(M8, 5, 31))</f>
        <v>0</v>
      </c>
      <c r="I15" s="54"/>
      <c r="J15" s="10" t="s">
        <v>41</v>
      </c>
      <c r="K15" s="44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42</v>
      </c>
      <c r="B16" s="44">
        <f>SUMIFS(支出明細!E:E,支出明細!C:C, "運営費", 支出明細!B:B, "&gt;=" &amp; DATE(M8, 6, 1), 支出明細!B:B, "&lt;=" &amp; DATE(M8, 6, 30))</f>
        <v>0</v>
      </c>
      <c r="C16" s="54"/>
      <c r="D16" s="10" t="s">
        <v>42</v>
      </c>
      <c r="E16" s="44">
        <f>SUMIFS(支出明細!E:E,支出明細!C:C, "特定研修費", 支出明細!B:B, "&gt;=" &amp; DATE(M8, 6, 1), 支出明細!B:B, "&lt;=" &amp; DATE(M8, 6, 30))</f>
        <v>0</v>
      </c>
      <c r="F16" s="54"/>
      <c r="G16" s="10" t="s">
        <v>42</v>
      </c>
      <c r="H16" s="44">
        <f>SUMIFS(支出明細!E:E,支出明細!C:C, "送迎活動費", 支出明細!B:B, "&gt;=" &amp; DATE(M8, 6, 1), 支出明細!B:B, "&lt;=" &amp; DATE(M8, 6, 30))</f>
        <v>0</v>
      </c>
      <c r="I16" s="54"/>
      <c r="J16" s="10" t="s">
        <v>42</v>
      </c>
      <c r="K16" s="44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43</v>
      </c>
      <c r="B17" s="44">
        <f>SUMIFS(支出明細!E:E,支出明細!C:C, "運営費", 支出明細!B:B, "&gt;=" &amp; DATE(M8, 7, 1), 支出明細!B:B, "&lt;=" &amp; DATE(M8, 7, 31))</f>
        <v>0</v>
      </c>
      <c r="C17" s="54"/>
      <c r="D17" s="10" t="s">
        <v>43</v>
      </c>
      <c r="E17" s="44">
        <f>SUMIFS(支出明細!E:E,支出明細!C:C, "特定研修費", 支出明細!B:B, "&gt;=" &amp; DATE(M8, 7, 1), 支出明細!B:B, "&lt;=" &amp; DATE(M8, 7, 31))</f>
        <v>0</v>
      </c>
      <c r="F17" s="54"/>
      <c r="G17" s="10" t="s">
        <v>43</v>
      </c>
      <c r="H17" s="44">
        <f>SUMIFS(支出明細!E:E,支出明細!C:C, "送迎活動費", 支出明細!B:B, "&gt;=" &amp; DATE(M8, 7, 1), 支出明細!B:B, "&lt;=" &amp; DATE(M8, 7, 31))</f>
        <v>0</v>
      </c>
      <c r="I17" s="54"/>
      <c r="J17" s="10" t="s">
        <v>43</v>
      </c>
      <c r="K17" s="44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44</v>
      </c>
      <c r="B18" s="44">
        <f>SUMIFS(支出明細!E:E,支出明細!C:C, "運営費", 支出明細!B:B, "&gt;=" &amp; DATE(M8, 8, 1), 支出明細!B:B, "&lt;=" &amp; DATE(M8, 8, 31))</f>
        <v>0</v>
      </c>
      <c r="C18" s="54"/>
      <c r="D18" s="10" t="s">
        <v>44</v>
      </c>
      <c r="E18" s="44">
        <f>SUMIFS(支出明細!E:E,支出明細!C:C, "特定研修費", 支出明細!B:B, "&gt;=" &amp; DATE(M8, 8, 1), 支出明細!B:B, "&lt;=" &amp; DATE(M8, 8, 31))</f>
        <v>0</v>
      </c>
      <c r="F18" s="54"/>
      <c r="G18" s="10" t="s">
        <v>44</v>
      </c>
      <c r="H18" s="44">
        <f>SUMIFS(支出明細!E:E,支出明細!C:C, "送迎活動費", 支出明細!B:B, "&gt;=" &amp; DATE(M8, 8, 1), 支出明細!B:B, "&lt;=" &amp; DATE(M8, 8, 31))</f>
        <v>0</v>
      </c>
      <c r="I18" s="54"/>
      <c r="J18" s="10" t="s">
        <v>44</v>
      </c>
      <c r="K18" s="44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45</v>
      </c>
      <c r="B19" s="44">
        <f>SUMIFS(支出明細!E:E,支出明細!C:C, "運営費", 支出明細!B:B, "&gt;=" &amp; DATE(M8, 9, 1), 支出明細!B:B, "&lt;=" &amp; DATE(M8, 9, 30))</f>
        <v>0</v>
      </c>
      <c r="C19" s="54"/>
      <c r="D19" s="10" t="s">
        <v>45</v>
      </c>
      <c r="E19" s="44">
        <f>SUMIFS(支出明細!E:E,支出明細!C:C, "特定研修費", 支出明細!B:B, "&gt;=" &amp; DATE(M8, 9, 1), 支出明細!B:B, "&lt;=" &amp; DATE(M8, 9, 30))</f>
        <v>0</v>
      </c>
      <c r="F19" s="54"/>
      <c r="G19" s="10" t="s">
        <v>45</v>
      </c>
      <c r="H19" s="44">
        <f>SUMIFS(支出明細!E:E,支出明細!C:C, "送迎活動費", 支出明細!B:B, "&gt;=" &amp; DATE(M8, 9, 1), 支出明細!B:B, "&lt;=" &amp; DATE(M8, 9, 30))</f>
        <v>0</v>
      </c>
      <c r="I19" s="54"/>
      <c r="J19" s="10" t="s">
        <v>45</v>
      </c>
      <c r="K19" s="44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46</v>
      </c>
      <c r="B20" s="44">
        <f>SUMIFS(支出明細!E:E,支出明細!C:C, "運営費", 支出明細!B:B, "&gt;=" &amp; DATE(M8, 10, 1), 支出明細!B:B, "&lt;=" &amp; DATE(M8, 10, 31))</f>
        <v>0</v>
      </c>
      <c r="C20" s="54"/>
      <c r="D20" s="10" t="s">
        <v>46</v>
      </c>
      <c r="E20" s="44">
        <f>SUMIFS(支出明細!E:E,支出明細!C:C, "特定研修費", 支出明細!B:B, "&gt;=" &amp; DATE(M8, 10, 1), 支出明細!B:B, "&lt;=" &amp; DATE(M8, 10, 31))</f>
        <v>0</v>
      </c>
      <c r="F20" s="54"/>
      <c r="G20" s="10" t="s">
        <v>46</v>
      </c>
      <c r="H20" s="44">
        <f>SUMIFS(支出明細!E:E,支出明細!C:C, "送迎活動費", 支出明細!B:B, "&gt;=" &amp; DATE(M8, 10, 1), 支出明細!B:B, "&lt;=" &amp; DATE(M8, 10, 31))</f>
        <v>0</v>
      </c>
      <c r="I20" s="54"/>
      <c r="J20" s="10" t="s">
        <v>46</v>
      </c>
      <c r="K20" s="44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47</v>
      </c>
      <c r="B21" s="44">
        <f>SUMIFS(支出明細!E:E,支出明細!C:C, "運営費", 支出明細!B:B, "&gt;=" &amp; DATE(M8, 11, 1), 支出明細!B:B, "&lt;=" &amp; DATE(M8, 11, 30))</f>
        <v>0</v>
      </c>
      <c r="C21" s="54"/>
      <c r="D21" s="10" t="s">
        <v>47</v>
      </c>
      <c r="E21" s="44">
        <f>SUMIFS(支出明細!E:E,支出明細!C:C, "特定研修費", 支出明細!B:B, "&gt;=" &amp; DATE(M8, 11, 1), 支出明細!B:B, "&lt;=" &amp; DATE(M8, 11, 30))</f>
        <v>0</v>
      </c>
      <c r="F21" s="54"/>
      <c r="G21" s="10" t="s">
        <v>47</v>
      </c>
      <c r="H21" s="44">
        <f>SUMIFS(支出明細!E:E,支出明細!C:C, "送迎活動費", 支出明細!B:B, "&gt;=" &amp; DATE(M8, 11, 1), 支出明細!B:B, "&lt;=" &amp; DATE(M8, 11, 30))</f>
        <v>0</v>
      </c>
      <c r="I21" s="54"/>
      <c r="J21" s="10" t="s">
        <v>47</v>
      </c>
      <c r="K21" s="44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48</v>
      </c>
      <c r="B22" s="44">
        <f>SUMIFS(支出明細!E:E,支出明細!C:C, "運営費", 支出明細!B:B, "&gt;=" &amp; DATE(M8, 12, 1), 支出明細!B:B, "&lt;=" &amp; DATE(M8, 12, 31))</f>
        <v>0</v>
      </c>
      <c r="C22" s="54"/>
      <c r="D22" s="10" t="s">
        <v>48</v>
      </c>
      <c r="E22" s="44">
        <f>SUMIFS(支出明細!E:E,支出明細!C:C, "特定研修費", 支出明細!B:B, "&gt;=" &amp; DATE(M8, 12, 1), 支出明細!B:B, "&lt;=" &amp; DATE(M8, 12, 31))</f>
        <v>0</v>
      </c>
      <c r="F22" s="54"/>
      <c r="G22" s="10" t="s">
        <v>48</v>
      </c>
      <c r="H22" s="44">
        <f>SUMIFS(支出明細!E:E,支出明細!C:C, "送迎活動費", 支出明細!B:B, "&gt;=" &amp; DATE(M8, 12, 1), 支出明細!B:B, "&lt;=" &amp; DATE(M8, 12, 31))</f>
        <v>0</v>
      </c>
      <c r="I22" s="54"/>
      <c r="J22" s="10" t="s">
        <v>48</v>
      </c>
      <c r="K22" s="44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49</v>
      </c>
      <c r="B23" s="44">
        <f>SUMIFS(支出明細!E:E,支出明細!C:C, "運営費", 支出明細!B:B, "&gt;=" &amp; DATE(P8, 1, 1), 支出明細!B:B, "&lt;=" &amp; DATE(P8, 1, 31))</f>
        <v>0</v>
      </c>
      <c r="C23" s="54"/>
      <c r="D23" s="10" t="s">
        <v>49</v>
      </c>
      <c r="E23" s="44">
        <f>SUMIFS(支出明細!E:E,支出明細!C:C, "特定研修費", 支出明細!B:B, "&gt;=" &amp; DATE(P8, 1, 1), 支出明細!B:B, "&lt;=" &amp; DATE(P8, 1, 31))</f>
        <v>0</v>
      </c>
      <c r="F23" s="54"/>
      <c r="G23" s="10" t="s">
        <v>49</v>
      </c>
      <c r="H23" s="44">
        <f>SUMIFS(支出明細!E:E,支出明細!C:C, "送迎活動費", 支出明細!B:B, "&gt;=" &amp; DATE(P8, 1, 1), 支出明細!B:B, "&lt;=" &amp; DATE(P8, 1, 31))</f>
        <v>0</v>
      </c>
      <c r="I23" s="54"/>
      <c r="J23" s="10" t="s">
        <v>49</v>
      </c>
      <c r="K23" s="44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51</v>
      </c>
      <c r="B24" s="44">
        <f>SUMIFS(支出明細!E:E,支出明細!C:C, "運営費", 支出明細!B:B, "&gt;=" &amp; DATE(P8, 2, 1), 支出明細!B:B, "&lt;=" &amp; DATE(P8, 2, 29))</f>
        <v>0</v>
      </c>
      <c r="C24" s="54"/>
      <c r="D24" s="10" t="s">
        <v>51</v>
      </c>
      <c r="E24" s="44">
        <f>SUMIFS(支出明細!E:E,支出明細!C:C, "特定研修費", 支出明細!B:B, "&gt;=" &amp; DATE(P8, 2, 1), 支出明細!B:B, "&lt;=" &amp; DATE(P8, 2, 29))</f>
        <v>0</v>
      </c>
      <c r="F24" s="54"/>
      <c r="G24" s="10" t="s">
        <v>51</v>
      </c>
      <c r="H24" s="44">
        <f>SUMIFS(支出明細!E:E,支出明細!C:C, "送迎活動費", 支出明細!B:B, "&gt;=" &amp; DATE(P8, 2, 1), 支出明細!B:B, "&lt;=" &amp; DATE(P8, 2, 29))</f>
        <v>0</v>
      </c>
      <c r="I24" s="54"/>
      <c r="J24" s="10" t="s">
        <v>51</v>
      </c>
      <c r="K24" s="44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53</v>
      </c>
      <c r="B25" s="44">
        <f>SUMIFS(支出明細!E:E,支出明細!C:C, "運営費", 支出明細!B:B, "&gt;=" &amp; DATE(P8, 3, 1), 支出明細!B:B, "&lt;=" &amp; DATE(P8, 3, 31))</f>
        <v>0</v>
      </c>
      <c r="C25" s="54"/>
      <c r="D25" s="10" t="s">
        <v>53</v>
      </c>
      <c r="E25" s="44">
        <f>SUMIFS(支出明細!E:E,支出明細!C:C, "特定研修費", 支出明細!B:B, "&gt;=" &amp; DATE(P8, 3, 1), 支出明細!B:B, "&lt;=" &amp; DATE(P8, 3, 31))</f>
        <v>0</v>
      </c>
      <c r="F25" s="54"/>
      <c r="G25" s="10" t="s">
        <v>53</v>
      </c>
      <c r="H25" s="44">
        <f>SUMIFS(支出明細!E:E,支出明細!C:C, "送迎活動費", 支出明細!B:B, "&gt;=" &amp; DATE(P8, 3, 1), 支出明細!B:B, "&lt;=" &amp; DATE(P8, 3, 31))</f>
        <v>0</v>
      </c>
      <c r="I25" s="54"/>
      <c r="J25" s="10" t="s">
        <v>53</v>
      </c>
      <c r="K25" s="44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59</v>
      </c>
      <c r="B26" s="44">
        <f>SUM(B14:B25)</f>
        <v>0</v>
      </c>
      <c r="D26" s="10" t="s">
        <v>59</v>
      </c>
      <c r="E26" s="44">
        <f>SUM(E14:E25)</f>
        <v>0</v>
      </c>
      <c r="G26" s="10" t="s">
        <v>59</v>
      </c>
      <c r="H26" s="44">
        <f>SUM(H14:H25)</f>
        <v>0</v>
      </c>
      <c r="J26" s="10" t="s">
        <v>59</v>
      </c>
      <c r="K26" s="44">
        <f>SUM(K14:K25)</f>
        <v>0</v>
      </c>
    </row>
    <row r="27" spans="1:11" ht="12" customHeight="1">
      <c r="A27" s="11"/>
      <c r="B27" s="55"/>
      <c r="D27" s="9"/>
      <c r="E27" s="55"/>
      <c r="G27" s="9"/>
      <c r="H27" s="55"/>
      <c r="J27" s="9"/>
      <c r="K27" s="55"/>
    </row>
    <row r="28" spans="1:11" ht="22.5" customHeight="1">
      <c r="A28" s="10" t="s">
        <v>72</v>
      </c>
      <c r="B28" s="10" t="s">
        <v>59</v>
      </c>
      <c r="G28" s="10" t="s">
        <v>72</v>
      </c>
      <c r="H28" s="10" t="s">
        <v>59</v>
      </c>
      <c r="J28" s="10" t="s">
        <v>72</v>
      </c>
      <c r="K28" s="10" t="s">
        <v>59</v>
      </c>
    </row>
    <row r="29" spans="1:11" ht="22.5" customHeight="1">
      <c r="A29" s="4" t="s">
        <v>64</v>
      </c>
      <c r="B29" s="44">
        <f>SUMIFS(支出明細!E:E,支出明細!D:D, "運営費(人件費）")</f>
        <v>0</v>
      </c>
      <c r="G29" s="10" t="s">
        <v>73</v>
      </c>
      <c r="H29" s="44">
        <f>SUMIFS(支出明細!E:E,支出明細!D:D, "送迎活動費(車両賃借料)")</f>
        <v>0</v>
      </c>
      <c r="J29" s="10" t="s">
        <v>76</v>
      </c>
      <c r="K29" s="44">
        <f>SUMIFS(支出明細!E:E,支出明細!D:D, "設立・更新費(備品購入費）")</f>
        <v>0</v>
      </c>
    </row>
    <row r="30" spans="1:11" ht="22.5" customHeight="1">
      <c r="A30" s="4" t="s">
        <v>65</v>
      </c>
      <c r="B30" s="44">
        <f>SUMIFS(支出明細!E:E,支出明細!D:D, "運営費(通信費）")</f>
        <v>0</v>
      </c>
      <c r="G30" s="10" t="s">
        <v>74</v>
      </c>
      <c r="H30" s="44">
        <f>SUMIFS(支出明細!E:E,支出明細!D:D, "送迎活動費(燃料費）")</f>
        <v>0</v>
      </c>
      <c r="J30" s="10" t="s">
        <v>77</v>
      </c>
      <c r="K30" s="44">
        <f>SUMIFS(支出明細!E:E,支出明細!D:D, "設立・更新費(被服費）")</f>
        <v>0</v>
      </c>
    </row>
    <row r="31" spans="1:11" ht="22.5" customHeight="1">
      <c r="A31" s="4" t="s">
        <v>67</v>
      </c>
      <c r="B31" s="44">
        <f>SUMIFS(支出明細!E:E,支出明細!D:D, "運営費(保険料）")</f>
        <v>0</v>
      </c>
      <c r="G31" s="10" t="s">
        <v>66</v>
      </c>
      <c r="H31" s="44">
        <f>SUMIFS(支出明細!E:E,支出明細!D:D, "送迎活動費(移動支援サービス専用自動車保険料）")</f>
        <v>0</v>
      </c>
      <c r="J31" s="10" t="s">
        <v>70</v>
      </c>
      <c r="K31" s="44">
        <f>SUMIFS(支出明細!E:E,支出明細!D:D, "設立・更新費(その他)")</f>
        <v>0</v>
      </c>
    </row>
    <row r="32" spans="1:11" ht="22.5" customHeight="1">
      <c r="A32" s="4" t="s">
        <v>68</v>
      </c>
      <c r="B32" s="44">
        <f>SUMIFS(支出明細!E:E,支出明細!D:D, "運営費(消耗品費）")</f>
        <v>0</v>
      </c>
      <c r="G32" s="10" t="s">
        <v>75</v>
      </c>
      <c r="H32" s="44">
        <f>SUMIFS(支出明細!E:E,支出明細!D:D, "送迎活動費(修理費）")</f>
        <v>0</v>
      </c>
    </row>
    <row r="33" spans="1:11">
      <c r="A33" s="4" t="s">
        <v>69</v>
      </c>
      <c r="B33" s="44">
        <f>SUMIFS(支出明細!E:E,支出明細!D:D, "運営費(印刷費）")</f>
        <v>0</v>
      </c>
      <c r="G33" s="10" t="s">
        <v>71</v>
      </c>
      <c r="H33" s="44">
        <f>SUMIFS(支出明細!E:E,支出明細!D:D, "送迎活動費(その他）")</f>
        <v>0</v>
      </c>
    </row>
    <row r="34" spans="1:11">
      <c r="A34" s="4" t="s">
        <v>71</v>
      </c>
      <c r="B34" s="44">
        <f>SUMIFS(支出明細!E:E,支出明細!D:D, "運営費(その他）")</f>
        <v>0</v>
      </c>
    </row>
    <row r="37" spans="1:11">
      <c r="G37" s="56" t="s">
        <v>80</v>
      </c>
      <c r="H37" s="184">
        <f>利用者名簿!G25</f>
        <v>0</v>
      </c>
      <c r="I37" s="184"/>
      <c r="J37" s="184"/>
      <c r="K37" s="184"/>
    </row>
  </sheetData>
  <sheetProtection algorithmName="SHA-512" hashValue="SvhHAcpnfJ+Y5SFpJAe4wibwBMGahHUt7meBwT1JljFz8YXpjsX5sFBdunGNWrtDbYII9iG8Ek6KJlA2F+Tlkw==" saltValue="NSrIkToAUeBDmTOhI/rJ5w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56</v>
      </c>
      <c r="E1" s="91">
        <f>利用者名簿!G25</f>
        <v>0</v>
      </c>
    </row>
    <row r="2" spans="1:5" ht="19.5" customHeight="1">
      <c r="A2" t="s">
        <v>111</v>
      </c>
      <c r="E2" s="8" t="s">
        <v>24</v>
      </c>
    </row>
    <row r="3" spans="1:5" ht="27.75" customHeight="1">
      <c r="A3" s="41"/>
      <c r="B3" s="40" t="s">
        <v>1</v>
      </c>
      <c r="C3" s="40" t="s">
        <v>2</v>
      </c>
      <c r="D3" s="40" t="s">
        <v>3</v>
      </c>
      <c r="E3" s="40" t="s">
        <v>4</v>
      </c>
    </row>
    <row r="4" spans="1:5" ht="27.75" customHeight="1">
      <c r="A4" s="1">
        <v>1</v>
      </c>
      <c r="B4" s="113"/>
      <c r="C4" s="114"/>
      <c r="D4" s="115"/>
      <c r="E4" s="116"/>
    </row>
    <row r="5" spans="1:5" ht="27.75" customHeight="1">
      <c r="A5" s="1">
        <v>2</v>
      </c>
      <c r="B5" s="113"/>
      <c r="C5" s="114"/>
      <c r="D5" s="115"/>
      <c r="E5" s="117"/>
    </row>
    <row r="6" spans="1:5" ht="27.75" customHeight="1">
      <c r="A6" s="1">
        <v>3</v>
      </c>
      <c r="B6" s="113"/>
      <c r="C6" s="114"/>
      <c r="D6" s="115"/>
      <c r="E6" s="117"/>
    </row>
    <row r="7" spans="1:5" ht="27.75" customHeight="1">
      <c r="A7" s="1">
        <v>4</v>
      </c>
      <c r="B7" s="113"/>
      <c r="C7" s="114"/>
      <c r="D7" s="115"/>
      <c r="E7" s="116"/>
    </row>
    <row r="8" spans="1:5" ht="27.75" customHeight="1">
      <c r="A8" s="1">
        <v>5</v>
      </c>
      <c r="B8" s="113"/>
      <c r="C8" s="114"/>
      <c r="D8" s="115"/>
      <c r="E8" s="117"/>
    </row>
    <row r="9" spans="1:5" ht="27.75" customHeight="1">
      <c r="A9" s="1">
        <v>6</v>
      </c>
      <c r="B9" s="113"/>
      <c r="C9" s="114"/>
      <c r="D9" s="115"/>
      <c r="E9" s="117"/>
    </row>
    <row r="10" spans="1:5" ht="27.75" customHeight="1">
      <c r="A10" s="1">
        <v>7</v>
      </c>
      <c r="B10" s="113"/>
      <c r="C10" s="114"/>
      <c r="D10" s="115"/>
      <c r="E10" s="117"/>
    </row>
    <row r="11" spans="1:5" ht="27.75" customHeight="1">
      <c r="A11" s="1">
        <v>8</v>
      </c>
      <c r="B11" s="113"/>
      <c r="C11" s="114"/>
      <c r="D11" s="115"/>
      <c r="E11" s="117"/>
    </row>
    <row r="12" spans="1:5" ht="27.75" customHeight="1">
      <c r="A12" s="1">
        <v>9</v>
      </c>
      <c r="B12" s="113"/>
      <c r="C12" s="114"/>
      <c r="D12" s="115"/>
      <c r="E12" s="117"/>
    </row>
    <row r="13" spans="1:5" ht="27.75" customHeight="1">
      <c r="A13" s="1">
        <v>10</v>
      </c>
      <c r="B13" s="113"/>
      <c r="C13" s="114"/>
      <c r="D13" s="115"/>
      <c r="E13" s="117"/>
    </row>
    <row r="14" spans="1:5" ht="27.75" customHeight="1">
      <c r="A14" s="1">
        <v>11</v>
      </c>
      <c r="B14" s="113"/>
      <c r="C14" s="114"/>
      <c r="D14" s="115"/>
      <c r="E14" s="117"/>
    </row>
    <row r="15" spans="1:5" ht="27.75" customHeight="1">
      <c r="A15" s="1">
        <v>12</v>
      </c>
      <c r="B15" s="113"/>
      <c r="C15" s="114"/>
      <c r="D15" s="115"/>
      <c r="E15" s="117"/>
    </row>
    <row r="16" spans="1:5" ht="27.75" customHeight="1">
      <c r="A16" s="1">
        <v>13</v>
      </c>
      <c r="B16" s="113"/>
      <c r="C16" s="114"/>
      <c r="D16" s="115"/>
      <c r="E16" s="117"/>
    </row>
    <row r="17" spans="1:5" ht="27.75" customHeight="1">
      <c r="A17" s="1">
        <v>14</v>
      </c>
      <c r="B17" s="113"/>
      <c r="C17" s="114"/>
      <c r="D17" s="115"/>
      <c r="E17" s="117"/>
    </row>
    <row r="18" spans="1:5" ht="27.75" customHeight="1">
      <c r="A18" s="1">
        <v>15</v>
      </c>
      <c r="B18" s="113"/>
      <c r="C18" s="114"/>
      <c r="D18" s="115"/>
      <c r="E18" s="117"/>
    </row>
    <row r="19" spans="1:5" ht="27.75" customHeight="1">
      <c r="A19" s="1">
        <v>16</v>
      </c>
      <c r="B19" s="113"/>
      <c r="C19" s="114"/>
      <c r="D19" s="115"/>
      <c r="E19" s="117"/>
    </row>
    <row r="20" spans="1:5" ht="27.75" customHeight="1">
      <c r="A20" s="1">
        <v>17</v>
      </c>
      <c r="B20" s="113"/>
      <c r="C20" s="114"/>
      <c r="D20" s="115"/>
      <c r="E20" s="117"/>
    </row>
    <row r="21" spans="1:5" ht="27.75" customHeight="1">
      <c r="A21" s="1">
        <v>18</v>
      </c>
      <c r="B21" s="113"/>
      <c r="C21" s="114"/>
      <c r="D21" s="115"/>
      <c r="E21" s="117"/>
    </row>
    <row r="22" spans="1:5" ht="27.75" customHeight="1">
      <c r="A22" s="1">
        <v>19</v>
      </c>
      <c r="B22" s="113"/>
      <c r="C22" s="114"/>
      <c r="D22" s="115"/>
      <c r="E22" s="117"/>
    </row>
    <row r="23" spans="1:5" ht="27.75" customHeight="1">
      <c r="A23" s="1">
        <v>20</v>
      </c>
      <c r="B23" s="113"/>
      <c r="C23" s="114"/>
      <c r="D23" s="115"/>
      <c r="E23" s="117"/>
    </row>
    <row r="24" spans="1:5" ht="27.75" customHeight="1">
      <c r="A24" s="1">
        <v>21</v>
      </c>
      <c r="B24" s="113"/>
      <c r="C24" s="114"/>
      <c r="D24" s="115"/>
      <c r="E24" s="117"/>
    </row>
    <row r="25" spans="1:5" ht="27.75" customHeight="1">
      <c r="A25" s="1">
        <v>22</v>
      </c>
      <c r="B25" s="113"/>
      <c r="C25" s="114"/>
      <c r="D25" s="115"/>
      <c r="E25" s="117"/>
    </row>
    <row r="26" spans="1:5" ht="27.75" customHeight="1">
      <c r="A26" s="1">
        <v>23</v>
      </c>
      <c r="B26" s="113"/>
      <c r="C26" s="114"/>
      <c r="D26" s="115"/>
      <c r="E26" s="117"/>
    </row>
    <row r="27" spans="1:5" ht="27.75" customHeight="1">
      <c r="A27" s="1">
        <v>24</v>
      </c>
      <c r="B27" s="113"/>
      <c r="C27" s="114"/>
      <c r="D27" s="115"/>
      <c r="E27" s="117"/>
    </row>
    <row r="28" spans="1:5" ht="27.75" customHeight="1">
      <c r="A28" s="1">
        <v>25</v>
      </c>
      <c r="B28" s="113"/>
      <c r="C28" s="114"/>
      <c r="D28" s="115"/>
      <c r="E28" s="117"/>
    </row>
    <row r="29" spans="1:5" ht="27.75" customHeight="1">
      <c r="A29" s="1">
        <v>26</v>
      </c>
      <c r="B29" s="113"/>
      <c r="C29" s="114"/>
      <c r="D29" s="115"/>
      <c r="E29" s="117"/>
    </row>
    <row r="30" spans="1:5" ht="27.75" customHeight="1">
      <c r="A30" s="1">
        <v>27</v>
      </c>
      <c r="B30" s="113"/>
      <c r="C30" s="114"/>
      <c r="D30" s="115"/>
      <c r="E30" s="117"/>
    </row>
    <row r="31" spans="1:5" ht="27.75" customHeight="1">
      <c r="A31" s="1">
        <v>28</v>
      </c>
      <c r="B31" s="113"/>
      <c r="C31" s="114"/>
      <c r="D31" s="115"/>
      <c r="E31" s="117"/>
    </row>
    <row r="32" spans="1:5" ht="27.75" customHeight="1">
      <c r="A32" s="1">
        <v>29</v>
      </c>
      <c r="B32" s="113"/>
      <c r="C32" s="114"/>
      <c r="D32" s="115"/>
      <c r="E32" s="117"/>
    </row>
    <row r="33" spans="1:5" ht="27.75" customHeight="1">
      <c r="A33" s="1">
        <v>30</v>
      </c>
      <c r="B33" s="113"/>
      <c r="C33" s="114"/>
      <c r="D33" s="115"/>
      <c r="E33" s="117"/>
    </row>
    <row r="34" spans="1:5" ht="27.75" customHeight="1">
      <c r="A34" s="1">
        <v>31</v>
      </c>
      <c r="B34" s="113"/>
      <c r="C34" s="114"/>
      <c r="D34" s="115"/>
      <c r="E34" s="117"/>
    </row>
    <row r="35" spans="1:5" ht="27.75" customHeight="1">
      <c r="A35" s="1">
        <v>32</v>
      </c>
      <c r="B35" s="113"/>
      <c r="C35" s="114"/>
      <c r="D35" s="115"/>
      <c r="E35" s="117"/>
    </row>
    <row r="36" spans="1:5" ht="27.75" customHeight="1">
      <c r="A36" s="1">
        <v>33</v>
      </c>
      <c r="B36" s="113"/>
      <c r="C36" s="114"/>
      <c r="D36" s="115"/>
      <c r="E36" s="117"/>
    </row>
    <row r="37" spans="1:5" ht="27.75" customHeight="1">
      <c r="A37" s="1">
        <v>34</v>
      </c>
      <c r="B37" s="113"/>
      <c r="C37" s="114"/>
      <c r="D37" s="115"/>
      <c r="E37" s="117"/>
    </row>
    <row r="38" spans="1:5" ht="27.75" customHeight="1">
      <c r="A38" s="1">
        <v>35</v>
      </c>
      <c r="B38" s="113"/>
      <c r="C38" s="114"/>
      <c r="D38" s="115"/>
      <c r="E38" s="117"/>
    </row>
    <row r="39" spans="1:5" ht="27.75" customHeight="1">
      <c r="A39" s="1">
        <v>36</v>
      </c>
      <c r="B39" s="113"/>
      <c r="C39" s="114"/>
      <c r="D39" s="115"/>
      <c r="E39" s="117"/>
    </row>
    <row r="40" spans="1:5" ht="27.75" customHeight="1">
      <c r="A40" s="1">
        <v>37</v>
      </c>
      <c r="B40" s="113"/>
      <c r="C40" s="114"/>
      <c r="D40" s="115"/>
      <c r="E40" s="117"/>
    </row>
    <row r="41" spans="1:5" ht="27.75" customHeight="1">
      <c r="A41" s="1">
        <v>38</v>
      </c>
      <c r="B41" s="113"/>
      <c r="C41" s="114"/>
      <c r="D41" s="115"/>
      <c r="E41" s="117"/>
    </row>
    <row r="42" spans="1:5" ht="27.75" customHeight="1">
      <c r="A42" s="1">
        <v>39</v>
      </c>
      <c r="B42" s="113"/>
      <c r="C42" s="114"/>
      <c r="D42" s="115"/>
      <c r="E42" s="117"/>
    </row>
    <row r="43" spans="1:5" ht="27.75" customHeight="1">
      <c r="A43" s="1">
        <v>40</v>
      </c>
      <c r="B43" s="113"/>
      <c r="C43" s="114"/>
      <c r="D43" s="115"/>
      <c r="E43" s="117"/>
    </row>
    <row r="44" spans="1:5" ht="27.75" customHeight="1">
      <c r="A44" s="1">
        <v>41</v>
      </c>
      <c r="B44" s="113"/>
      <c r="C44" s="114"/>
      <c r="D44" s="115"/>
      <c r="E44" s="117"/>
    </row>
    <row r="45" spans="1:5" ht="27.75" customHeight="1">
      <c r="A45" s="1">
        <v>42</v>
      </c>
      <c r="B45" s="113"/>
      <c r="C45" s="114"/>
      <c r="D45" s="115"/>
      <c r="E45" s="117"/>
    </row>
    <row r="46" spans="1:5" ht="27.75" customHeight="1">
      <c r="A46" s="1">
        <v>43</v>
      </c>
      <c r="B46" s="113"/>
      <c r="C46" s="114"/>
      <c r="D46" s="115"/>
      <c r="E46" s="117"/>
    </row>
    <row r="47" spans="1:5" ht="27.75" customHeight="1">
      <c r="A47" s="1">
        <v>44</v>
      </c>
      <c r="B47" s="113"/>
      <c r="C47" s="114"/>
      <c r="D47" s="115"/>
      <c r="E47" s="117"/>
    </row>
    <row r="48" spans="1:5" ht="27.75" customHeight="1">
      <c r="A48" s="1">
        <v>45</v>
      </c>
      <c r="B48" s="113"/>
      <c r="C48" s="114"/>
      <c r="D48" s="115"/>
      <c r="E48" s="117"/>
    </row>
    <row r="49" spans="1:5" ht="27.75" customHeight="1">
      <c r="A49" s="1">
        <v>46</v>
      </c>
      <c r="B49" s="113"/>
      <c r="C49" s="114"/>
      <c r="D49" s="115"/>
      <c r="E49" s="117"/>
    </row>
    <row r="50" spans="1:5" ht="27.75" customHeight="1">
      <c r="A50" s="1">
        <v>47</v>
      </c>
      <c r="B50" s="113"/>
      <c r="C50" s="114"/>
      <c r="D50" s="115"/>
      <c r="E50" s="117"/>
    </row>
    <row r="51" spans="1:5" ht="27.75" customHeight="1">
      <c r="A51" s="1">
        <v>48</v>
      </c>
      <c r="B51" s="113"/>
      <c r="C51" s="114"/>
      <c r="D51" s="115"/>
      <c r="E51" s="117"/>
    </row>
    <row r="52" spans="1:5" ht="27.75" customHeight="1">
      <c r="A52" s="1">
        <v>49</v>
      </c>
      <c r="B52" s="113"/>
      <c r="C52" s="114"/>
      <c r="D52" s="115"/>
      <c r="E52" s="117"/>
    </row>
    <row r="53" spans="1:5" ht="27.75" customHeight="1">
      <c r="A53" s="1">
        <v>50</v>
      </c>
      <c r="B53" s="113"/>
      <c r="C53" s="114"/>
      <c r="D53" s="115"/>
      <c r="E53" s="117"/>
    </row>
    <row r="54" spans="1:5" ht="27.75" customHeight="1">
      <c r="A54" s="1">
        <v>51</v>
      </c>
      <c r="B54" s="113"/>
      <c r="C54" s="114"/>
      <c r="D54" s="115"/>
      <c r="E54" s="117"/>
    </row>
    <row r="55" spans="1:5" ht="27.75" customHeight="1">
      <c r="A55" s="1">
        <v>52</v>
      </c>
      <c r="B55" s="113"/>
      <c r="C55" s="114"/>
      <c r="D55" s="115"/>
      <c r="E55" s="117"/>
    </row>
    <row r="56" spans="1:5" ht="27.75" customHeight="1">
      <c r="A56" s="1">
        <v>53</v>
      </c>
      <c r="B56" s="113"/>
      <c r="C56" s="114"/>
      <c r="D56" s="115"/>
      <c r="E56" s="117"/>
    </row>
    <row r="57" spans="1:5" ht="27.75" customHeight="1">
      <c r="A57" s="1">
        <v>54</v>
      </c>
      <c r="B57" s="113"/>
      <c r="C57" s="114"/>
      <c r="D57" s="115"/>
      <c r="E57" s="117"/>
    </row>
    <row r="58" spans="1:5" ht="27.75" customHeight="1">
      <c r="A58" s="1">
        <v>55</v>
      </c>
      <c r="B58" s="113"/>
      <c r="C58" s="114"/>
      <c r="D58" s="115"/>
      <c r="E58" s="117"/>
    </row>
    <row r="59" spans="1:5" ht="27.75" customHeight="1">
      <c r="A59" s="1">
        <v>56</v>
      </c>
      <c r="B59" s="113"/>
      <c r="C59" s="114"/>
      <c r="D59" s="115"/>
      <c r="E59" s="117"/>
    </row>
    <row r="60" spans="1:5" ht="27.75" customHeight="1">
      <c r="A60" s="1">
        <v>57</v>
      </c>
      <c r="B60" s="113"/>
      <c r="C60" s="114"/>
      <c r="D60" s="115"/>
      <c r="E60" s="117"/>
    </row>
    <row r="61" spans="1:5" ht="27.75" customHeight="1">
      <c r="A61" s="1">
        <v>58</v>
      </c>
      <c r="B61" s="113"/>
      <c r="C61" s="114"/>
      <c r="D61" s="115"/>
      <c r="E61" s="117"/>
    </row>
    <row r="62" spans="1:5" ht="27.75" customHeight="1">
      <c r="A62" s="1">
        <v>59</v>
      </c>
      <c r="B62" s="113"/>
      <c r="C62" s="114"/>
      <c r="D62" s="115"/>
      <c r="E62" s="117"/>
    </row>
    <row r="63" spans="1:5" ht="27.75" customHeight="1">
      <c r="A63" s="1">
        <v>60</v>
      </c>
      <c r="B63" s="113"/>
      <c r="C63" s="114"/>
      <c r="D63" s="115"/>
      <c r="E63" s="117"/>
    </row>
    <row r="64" spans="1:5" ht="27.75" customHeight="1">
      <c r="A64" s="1">
        <v>61</v>
      </c>
      <c r="B64" s="113"/>
      <c r="C64" s="114"/>
      <c r="D64" s="115"/>
      <c r="E64" s="117"/>
    </row>
    <row r="65" spans="1:5" ht="27.75" customHeight="1">
      <c r="A65" s="1">
        <v>62</v>
      </c>
      <c r="B65" s="113"/>
      <c r="C65" s="114"/>
      <c r="D65" s="115"/>
      <c r="E65" s="117"/>
    </row>
    <row r="66" spans="1:5" ht="27.75" customHeight="1">
      <c r="A66" s="1">
        <v>63</v>
      </c>
      <c r="B66" s="113"/>
      <c r="C66" s="114"/>
      <c r="D66" s="115"/>
      <c r="E66" s="117"/>
    </row>
    <row r="67" spans="1:5" ht="27.75" customHeight="1">
      <c r="A67" s="1">
        <v>64</v>
      </c>
      <c r="B67" s="113"/>
      <c r="C67" s="114"/>
      <c r="D67" s="115"/>
      <c r="E67" s="117"/>
    </row>
    <row r="68" spans="1:5" ht="27.75" customHeight="1">
      <c r="A68" s="1">
        <v>65</v>
      </c>
      <c r="B68" s="113"/>
      <c r="C68" s="114"/>
      <c r="D68" s="115"/>
      <c r="E68" s="117"/>
    </row>
    <row r="69" spans="1:5" ht="27.75" customHeight="1">
      <c r="A69" s="1">
        <v>66</v>
      </c>
      <c r="B69" s="113"/>
      <c r="C69" s="114"/>
      <c r="D69" s="115"/>
      <c r="E69" s="117"/>
    </row>
    <row r="70" spans="1:5" ht="27.75" customHeight="1">
      <c r="A70" s="1">
        <v>67</v>
      </c>
      <c r="B70" s="113"/>
      <c r="C70" s="114"/>
      <c r="D70" s="115"/>
      <c r="E70" s="117"/>
    </row>
    <row r="71" spans="1:5" ht="27.75" customHeight="1">
      <c r="A71" s="1">
        <v>68</v>
      </c>
      <c r="B71" s="113"/>
      <c r="C71" s="114"/>
      <c r="D71" s="115"/>
      <c r="E71" s="117"/>
    </row>
    <row r="72" spans="1:5" ht="27.75" customHeight="1">
      <c r="A72" s="1">
        <v>69</v>
      </c>
      <c r="B72" s="113"/>
      <c r="C72" s="114"/>
      <c r="D72" s="115"/>
      <c r="E72" s="117"/>
    </row>
    <row r="73" spans="1:5" ht="27.75" customHeight="1">
      <c r="A73" s="1">
        <v>70</v>
      </c>
      <c r="B73" s="113"/>
      <c r="C73" s="114"/>
      <c r="D73" s="115"/>
      <c r="E73" s="117"/>
    </row>
    <row r="74" spans="1:5" ht="27.75" customHeight="1">
      <c r="A74" s="1">
        <v>71</v>
      </c>
      <c r="B74" s="113"/>
      <c r="C74" s="114"/>
      <c r="D74" s="115"/>
      <c r="E74" s="117"/>
    </row>
    <row r="75" spans="1:5" ht="27.75" customHeight="1">
      <c r="A75" s="1">
        <v>72</v>
      </c>
      <c r="B75" s="113"/>
      <c r="C75" s="114"/>
      <c r="D75" s="115"/>
      <c r="E75" s="117"/>
    </row>
    <row r="76" spans="1:5" ht="27.75" customHeight="1">
      <c r="A76" s="1">
        <v>73</v>
      </c>
      <c r="B76" s="113"/>
      <c r="C76" s="114"/>
      <c r="D76" s="115"/>
      <c r="E76" s="117"/>
    </row>
    <row r="77" spans="1:5" ht="27.75" customHeight="1">
      <c r="A77" s="1">
        <v>74</v>
      </c>
      <c r="B77" s="113"/>
      <c r="C77" s="114"/>
      <c r="D77" s="115"/>
      <c r="E77" s="117"/>
    </row>
    <row r="78" spans="1:5" ht="27.75" customHeight="1">
      <c r="A78" s="1">
        <v>75</v>
      </c>
      <c r="B78" s="113"/>
      <c r="C78" s="114"/>
      <c r="D78" s="115"/>
      <c r="E78" s="117"/>
    </row>
    <row r="79" spans="1:5" ht="27.75" customHeight="1">
      <c r="A79" s="1">
        <v>76</v>
      </c>
      <c r="B79" s="113"/>
      <c r="C79" s="114"/>
      <c r="D79" s="115"/>
      <c r="E79" s="117"/>
    </row>
    <row r="80" spans="1:5" ht="27.75" customHeight="1">
      <c r="A80" s="1">
        <v>77</v>
      </c>
      <c r="B80" s="113"/>
      <c r="C80" s="114"/>
      <c r="D80" s="115"/>
      <c r="E80" s="117"/>
    </row>
    <row r="81" spans="1:5" ht="27.75" customHeight="1">
      <c r="A81" s="1">
        <v>78</v>
      </c>
      <c r="B81" s="113"/>
      <c r="C81" s="114"/>
      <c r="D81" s="115"/>
      <c r="E81" s="117"/>
    </row>
    <row r="82" spans="1:5" ht="27.75" customHeight="1">
      <c r="A82" s="1">
        <v>79</v>
      </c>
      <c r="B82" s="113"/>
      <c r="C82" s="114"/>
      <c r="D82" s="115"/>
      <c r="E82" s="117"/>
    </row>
    <row r="83" spans="1:5" ht="27.75" customHeight="1">
      <c r="A83" s="1">
        <v>80</v>
      </c>
      <c r="B83" s="113"/>
      <c r="C83" s="114"/>
      <c r="D83" s="115"/>
      <c r="E83" s="117"/>
    </row>
    <row r="84" spans="1:5" ht="27.75" customHeight="1">
      <c r="A84" s="1">
        <v>81</v>
      </c>
      <c r="B84" s="113"/>
      <c r="C84" s="114"/>
      <c r="D84" s="115"/>
      <c r="E84" s="117"/>
    </row>
    <row r="85" spans="1:5" ht="27.75" customHeight="1">
      <c r="A85" s="1">
        <v>82</v>
      </c>
      <c r="B85" s="113"/>
      <c r="C85" s="114"/>
      <c r="D85" s="115"/>
      <c r="E85" s="117"/>
    </row>
    <row r="86" spans="1:5" ht="27.75" customHeight="1">
      <c r="A86" s="1">
        <v>83</v>
      </c>
      <c r="B86" s="113"/>
      <c r="C86" s="114"/>
      <c r="D86" s="115"/>
      <c r="E86" s="117"/>
    </row>
    <row r="87" spans="1:5" ht="27.75" customHeight="1">
      <c r="A87" s="1">
        <v>84</v>
      </c>
      <c r="B87" s="113"/>
      <c r="C87" s="114"/>
      <c r="D87" s="115"/>
      <c r="E87" s="117"/>
    </row>
    <row r="88" spans="1:5" ht="27.75" customHeight="1">
      <c r="A88" s="1">
        <v>85</v>
      </c>
      <c r="B88" s="113"/>
      <c r="C88" s="114"/>
      <c r="D88" s="115"/>
      <c r="E88" s="117"/>
    </row>
    <row r="89" spans="1:5" ht="27.75" customHeight="1">
      <c r="A89" s="1">
        <v>86</v>
      </c>
      <c r="B89" s="113"/>
      <c r="C89" s="114"/>
      <c r="D89" s="115"/>
      <c r="E89" s="117"/>
    </row>
    <row r="90" spans="1:5" ht="27.75" customHeight="1">
      <c r="A90" s="1">
        <v>87</v>
      </c>
      <c r="B90" s="113"/>
      <c r="C90" s="114"/>
      <c r="D90" s="115"/>
      <c r="E90" s="117"/>
    </row>
    <row r="91" spans="1:5" ht="27.75" customHeight="1">
      <c r="A91" s="1">
        <v>88</v>
      </c>
      <c r="B91" s="113"/>
      <c r="C91" s="114"/>
      <c r="D91" s="115"/>
      <c r="E91" s="117"/>
    </row>
    <row r="92" spans="1:5" ht="27.75" customHeight="1">
      <c r="A92" s="1">
        <v>89</v>
      </c>
      <c r="B92" s="113"/>
      <c r="C92" s="114"/>
      <c r="D92" s="115"/>
      <c r="E92" s="117"/>
    </row>
    <row r="93" spans="1:5" ht="27.75" customHeight="1">
      <c r="A93" s="1">
        <v>90</v>
      </c>
      <c r="B93" s="113"/>
      <c r="C93" s="114"/>
      <c r="D93" s="115"/>
      <c r="E93" s="117"/>
    </row>
    <row r="94" spans="1:5" ht="27.75" customHeight="1">
      <c r="A94" s="1">
        <v>91</v>
      </c>
      <c r="B94" s="113"/>
      <c r="C94" s="114"/>
      <c r="D94" s="115"/>
      <c r="E94" s="117"/>
    </row>
    <row r="95" spans="1:5" ht="27.75" customHeight="1">
      <c r="A95" s="1">
        <v>92</v>
      </c>
      <c r="B95" s="113"/>
      <c r="C95" s="114"/>
      <c r="D95" s="115"/>
      <c r="E95" s="117"/>
    </row>
    <row r="96" spans="1:5" ht="27.75" customHeight="1">
      <c r="A96" s="1">
        <v>93</v>
      </c>
      <c r="B96" s="113"/>
      <c r="C96" s="114"/>
      <c r="D96" s="115"/>
      <c r="E96" s="117"/>
    </row>
    <row r="97" spans="1:5" ht="27.75" customHeight="1">
      <c r="A97" s="1">
        <v>94</v>
      </c>
      <c r="B97" s="113"/>
      <c r="C97" s="114"/>
      <c r="D97" s="115"/>
      <c r="E97" s="117"/>
    </row>
    <row r="98" spans="1:5" ht="27.75" customHeight="1">
      <c r="A98" s="1">
        <v>95</v>
      </c>
      <c r="B98" s="113"/>
      <c r="C98" s="114"/>
      <c r="D98" s="115"/>
      <c r="E98" s="117"/>
    </row>
    <row r="99" spans="1:5" ht="27.75" customHeight="1">
      <c r="A99" s="1">
        <v>96</v>
      </c>
      <c r="B99" s="113"/>
      <c r="C99" s="114"/>
      <c r="D99" s="115"/>
      <c r="E99" s="117"/>
    </row>
    <row r="100" spans="1:5" ht="27.75" customHeight="1">
      <c r="A100" s="1">
        <v>97</v>
      </c>
      <c r="B100" s="113"/>
      <c r="C100" s="114"/>
      <c r="D100" s="115"/>
      <c r="E100" s="117"/>
    </row>
    <row r="101" spans="1:5" ht="27.75" customHeight="1">
      <c r="A101" s="1">
        <v>98</v>
      </c>
      <c r="B101" s="113"/>
      <c r="C101" s="114"/>
      <c r="D101" s="115"/>
      <c r="E101" s="117"/>
    </row>
    <row r="102" spans="1:5" ht="27.75" customHeight="1">
      <c r="A102" s="1">
        <v>99</v>
      </c>
      <c r="B102" s="118"/>
      <c r="C102" s="114"/>
      <c r="D102" s="119"/>
      <c r="E102" s="117"/>
    </row>
    <row r="103" spans="1:5" ht="27.75" customHeight="1">
      <c r="A103" s="1">
        <v>100</v>
      </c>
      <c r="B103" s="118"/>
      <c r="C103" s="114"/>
      <c r="D103" s="119"/>
      <c r="E103" s="117"/>
    </row>
    <row r="104" spans="1:5" ht="27.75" customHeight="1"/>
  </sheetData>
  <phoneticPr fontId="1"/>
  <pageMargins left="0.7" right="0.7" top="0.75" bottom="0.75" header="0.3" footer="0.3"/>
  <pageSetup paperSize="9" scale="90" orientation="portrait" r:id="rId1"/>
  <rowBreaks count="3" manualBreakCount="3">
    <brk id="28" max="16383" man="1"/>
    <brk id="53" max="16383" man="1"/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Sheet1!$B$1:$B$15</xm:f>
          </x14:formula1>
          <xm:sqref>D4:D101</xm:sqref>
        </x14:dataValidation>
        <x14:dataValidation type="list" allowBlank="1" showInputMessage="1" showErrorMessage="1">
          <x14:formula1>
            <xm:f>Sheet1!$A$1:$A$4</xm:f>
          </x14:formula1>
          <xm:sqref>C4:C103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A6" sqref="A6:B6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81</v>
      </c>
    </row>
    <row r="3" spans="1:6" s="20" customFormat="1" ht="41.45" customHeight="1">
      <c r="A3" s="194" t="s">
        <v>82</v>
      </c>
      <c r="B3" s="194"/>
      <c r="C3" s="194"/>
      <c r="D3" s="194"/>
      <c r="E3" s="23"/>
    </row>
    <row r="4" spans="1:6" ht="18" customHeight="1">
      <c r="A4" s="24" t="s">
        <v>83</v>
      </c>
      <c r="B4" s="19"/>
      <c r="C4" s="19"/>
      <c r="D4" s="25" t="s">
        <v>84</v>
      </c>
      <c r="E4" s="20"/>
    </row>
    <row r="5" spans="1:6" ht="23.25" customHeight="1">
      <c r="A5" s="195" t="s">
        <v>85</v>
      </c>
      <c r="B5" s="196"/>
      <c r="C5" s="27" t="s">
        <v>86</v>
      </c>
      <c r="D5" s="27" t="s">
        <v>87</v>
      </c>
      <c r="E5" s="20"/>
    </row>
    <row r="6" spans="1:6" ht="30" customHeight="1">
      <c r="A6" s="197" t="s">
        <v>88</v>
      </c>
      <c r="B6" s="198"/>
      <c r="C6" s="121">
        <f>支出合計!E4</f>
        <v>0</v>
      </c>
      <c r="D6" s="155" t="s">
        <v>81</v>
      </c>
      <c r="E6" s="20"/>
    </row>
    <row r="7" spans="1:6" ht="30" customHeight="1">
      <c r="A7" s="199"/>
      <c r="B7" s="200"/>
      <c r="C7" s="60"/>
      <c r="D7" s="60"/>
    </row>
    <row r="8" spans="1:6" ht="30" customHeight="1" thickBot="1">
      <c r="A8" s="199"/>
      <c r="B8" s="200"/>
      <c r="C8" s="60"/>
      <c r="D8" s="60"/>
    </row>
    <row r="9" spans="1:6" ht="30" customHeight="1" thickBot="1">
      <c r="A9" s="201" t="s">
        <v>89</v>
      </c>
      <c r="B9" s="202"/>
      <c r="C9" s="120">
        <f>SUM(C6:C8)</f>
        <v>0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90</v>
      </c>
      <c r="B11" s="19"/>
      <c r="C11" s="19"/>
    </row>
    <row r="12" spans="1:6" ht="23.25" customHeight="1">
      <c r="A12" s="203" t="s">
        <v>85</v>
      </c>
      <c r="B12" s="204"/>
      <c r="C12" s="29" t="s">
        <v>86</v>
      </c>
      <c r="D12" s="29" t="s">
        <v>87</v>
      </c>
      <c r="E12" s="30"/>
    </row>
    <row r="13" spans="1:6" ht="30" customHeight="1">
      <c r="A13" s="205" t="s">
        <v>91</v>
      </c>
      <c r="B13" s="31" t="s">
        <v>92</v>
      </c>
      <c r="C13" s="122">
        <f>支出合計!B29</f>
        <v>0</v>
      </c>
      <c r="D13" s="156"/>
      <c r="E13" s="32"/>
      <c r="F13" s="20"/>
    </row>
    <row r="14" spans="1:6" ht="30" customHeight="1">
      <c r="A14" s="206"/>
      <c r="B14" s="31" t="s">
        <v>93</v>
      </c>
      <c r="C14" s="122">
        <f>支出合計!B30</f>
        <v>0</v>
      </c>
      <c r="D14" s="156"/>
      <c r="E14" s="32"/>
      <c r="F14" s="20"/>
    </row>
    <row r="15" spans="1:6" ht="30" customHeight="1">
      <c r="A15" s="206"/>
      <c r="B15" s="31" t="s">
        <v>94</v>
      </c>
      <c r="C15" s="122">
        <f>支出合計!B31</f>
        <v>0</v>
      </c>
      <c r="D15" s="156"/>
      <c r="E15" s="32"/>
      <c r="F15" s="20"/>
    </row>
    <row r="16" spans="1:6" ht="30" customHeight="1">
      <c r="A16" s="206"/>
      <c r="B16" s="31" t="s">
        <v>95</v>
      </c>
      <c r="C16" s="122">
        <f>支出合計!B32</f>
        <v>0</v>
      </c>
      <c r="D16" s="156"/>
      <c r="E16" s="32"/>
      <c r="F16" s="20"/>
    </row>
    <row r="17" spans="1:6" ht="30" customHeight="1">
      <c r="A17" s="206"/>
      <c r="B17" s="31" t="s">
        <v>96</v>
      </c>
      <c r="C17" s="122">
        <f>支出合計!B33</f>
        <v>0</v>
      </c>
      <c r="D17" s="123"/>
      <c r="E17" s="32"/>
      <c r="F17" s="20"/>
    </row>
    <row r="18" spans="1:6" ht="30" customHeight="1">
      <c r="A18" s="206"/>
      <c r="B18" s="31" t="s">
        <v>97</v>
      </c>
      <c r="C18" s="122" t="s">
        <v>109</v>
      </c>
      <c r="D18" s="124"/>
      <c r="E18" s="32"/>
      <c r="F18" s="20"/>
    </row>
    <row r="19" spans="1:6" ht="30" customHeight="1">
      <c r="A19" s="206"/>
      <c r="B19" s="31" t="s">
        <v>98</v>
      </c>
      <c r="C19" s="122" t="s">
        <v>109</v>
      </c>
      <c r="D19" s="125"/>
      <c r="E19" s="33"/>
      <c r="F19" s="20"/>
    </row>
    <row r="20" spans="1:6" ht="30" customHeight="1">
      <c r="A20" s="206"/>
      <c r="B20" s="31" t="s">
        <v>99</v>
      </c>
      <c r="C20" s="122" t="s">
        <v>109</v>
      </c>
      <c r="D20" s="125"/>
      <c r="E20" s="33"/>
      <c r="F20" s="20"/>
    </row>
    <row r="21" spans="1:6" ht="30" customHeight="1">
      <c r="A21" s="206"/>
      <c r="B21" s="34" t="s">
        <v>71</v>
      </c>
      <c r="C21" s="122">
        <f>支出合計!B34</f>
        <v>0</v>
      </c>
      <c r="D21" s="126"/>
      <c r="E21" s="33"/>
      <c r="F21" s="20"/>
    </row>
    <row r="22" spans="1:6" ht="30" customHeight="1">
      <c r="A22" s="195" t="s">
        <v>6</v>
      </c>
      <c r="B22" s="196"/>
      <c r="C22" s="122">
        <f>支出合計!E26</f>
        <v>0</v>
      </c>
      <c r="D22" s="157"/>
      <c r="E22" s="33"/>
      <c r="F22" s="20"/>
    </row>
    <row r="23" spans="1:6" ht="30" customHeight="1">
      <c r="A23" s="207" t="s">
        <v>7</v>
      </c>
      <c r="B23" s="35" t="s">
        <v>100</v>
      </c>
      <c r="C23" s="122">
        <f>支出合計!H29</f>
        <v>0</v>
      </c>
      <c r="D23" s="157"/>
      <c r="E23" s="33"/>
      <c r="F23" s="20"/>
    </row>
    <row r="24" spans="1:6" ht="30" customHeight="1">
      <c r="A24" s="207"/>
      <c r="B24" s="31" t="s">
        <v>101</v>
      </c>
      <c r="C24" s="122">
        <f>支出合計!H30</f>
        <v>0</v>
      </c>
      <c r="D24" s="157"/>
      <c r="E24" s="33"/>
      <c r="F24" s="20"/>
    </row>
    <row r="25" spans="1:6" ht="30" customHeight="1">
      <c r="A25" s="207"/>
      <c r="B25" s="31" t="s">
        <v>94</v>
      </c>
      <c r="C25" s="122">
        <f>支出合計!H31</f>
        <v>0</v>
      </c>
      <c r="D25" s="157"/>
      <c r="E25" s="33"/>
      <c r="F25" s="20"/>
    </row>
    <row r="26" spans="1:6" ht="30" customHeight="1">
      <c r="A26" s="207"/>
      <c r="B26" s="31" t="s">
        <v>102</v>
      </c>
      <c r="C26" s="122">
        <f>支出合計!H32+支出合計!H33</f>
        <v>0</v>
      </c>
      <c r="D26" s="157"/>
      <c r="E26" s="33"/>
      <c r="F26" s="20"/>
    </row>
    <row r="27" spans="1:6" ht="30" customHeight="1">
      <c r="A27" s="207" t="s">
        <v>103</v>
      </c>
      <c r="B27" s="31" t="s">
        <v>104</v>
      </c>
      <c r="C27" s="122" t="s">
        <v>109</v>
      </c>
      <c r="D27" s="157"/>
      <c r="E27" s="33"/>
      <c r="F27" s="20"/>
    </row>
    <row r="28" spans="1:6" ht="30" customHeight="1">
      <c r="A28" s="207"/>
      <c r="B28" s="31" t="s">
        <v>105</v>
      </c>
      <c r="C28" s="122">
        <f>支出合計!K29</f>
        <v>0</v>
      </c>
      <c r="D28" s="157"/>
      <c r="E28" s="33"/>
      <c r="F28" s="20"/>
    </row>
    <row r="29" spans="1:6" ht="30" customHeight="1">
      <c r="A29" s="207"/>
      <c r="B29" s="31" t="s">
        <v>106</v>
      </c>
      <c r="C29" s="122">
        <f>支出合計!K30</f>
        <v>0</v>
      </c>
      <c r="D29" s="126"/>
      <c r="E29" s="33"/>
      <c r="F29" s="20"/>
    </row>
    <row r="30" spans="1:6" ht="30" customHeight="1" thickBot="1">
      <c r="A30" s="205"/>
      <c r="B30" s="34" t="s">
        <v>71</v>
      </c>
      <c r="C30" s="127">
        <f>支出合計!K31</f>
        <v>0</v>
      </c>
      <c r="D30" s="126"/>
      <c r="E30" s="33"/>
      <c r="F30" s="20"/>
    </row>
    <row r="31" spans="1:6" ht="30" customHeight="1" thickBot="1">
      <c r="A31" s="208" t="s">
        <v>107</v>
      </c>
      <c r="B31" s="209"/>
      <c r="C31" s="128">
        <f>SUM(C13:C30)</f>
        <v>0</v>
      </c>
      <c r="D31" s="129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93" t="s">
        <v>152</v>
      </c>
      <c r="C33" s="193"/>
      <c r="D33" s="33"/>
      <c r="E33" s="19"/>
      <c r="F33" s="20"/>
    </row>
    <row r="34" spans="1:6" ht="18" customHeight="1">
      <c r="A34" s="36"/>
      <c r="B34" s="32"/>
      <c r="C34" s="59" t="s">
        <v>108</v>
      </c>
      <c r="D34" s="92">
        <f>利用者名簿!G25</f>
        <v>0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7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8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39"/>
    </row>
  </sheetData>
  <sheetProtection algorithmName="SHA-512" hashValue="+kbXil4VUIleqite1kNmdPou7c7zU7FNlvqIlMf6cUnNOvZqhZp9Ij5H0aMKWh8r4Dn9InUS4eIkIJeddL9WVw==" saltValue="lRpYEL+S7oHPfbET1BuWfQ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63" customWidth="1"/>
    <col min="2" max="2" width="27.625" style="63" customWidth="1"/>
    <col min="3" max="3" width="7.125" style="63" bestFit="1" customWidth="1"/>
    <col min="4" max="4" width="7.25" style="63" customWidth="1"/>
    <col min="5" max="5" width="1.25" style="64" customWidth="1"/>
    <col min="6" max="6" width="6" style="64" customWidth="1"/>
    <col min="7" max="7" width="4.375" style="64" customWidth="1"/>
    <col min="8" max="39" width="4.375" style="63" customWidth="1"/>
    <col min="40" max="16384" width="9" style="63"/>
  </cols>
  <sheetData>
    <row r="1" spans="1:52" ht="21.75" customHeight="1">
      <c r="A1" s="62"/>
      <c r="AK1" s="65" t="s">
        <v>112</v>
      </c>
      <c r="AL1" s="65"/>
      <c r="AM1" s="65"/>
    </row>
    <row r="2" spans="1:52" s="71" customFormat="1" ht="24" customHeight="1">
      <c r="A2" s="66" t="s">
        <v>145</v>
      </c>
      <c r="B2" s="66"/>
      <c r="C2" s="66"/>
      <c r="D2" s="67" t="s">
        <v>147</v>
      </c>
      <c r="E2" s="68"/>
      <c r="F2" s="210" t="s">
        <v>133</v>
      </c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69"/>
      <c r="AA2" s="210" t="s">
        <v>113</v>
      </c>
      <c r="AB2" s="210"/>
      <c r="AC2" s="210"/>
      <c r="AD2" s="90">
        <f>利用者名簿!G25</f>
        <v>0</v>
      </c>
      <c r="AE2" s="70"/>
      <c r="AF2" s="70"/>
      <c r="AG2" s="70"/>
      <c r="AH2" s="70"/>
      <c r="AI2" s="70"/>
      <c r="AJ2" s="70"/>
      <c r="AK2" s="70"/>
      <c r="AL2" s="87"/>
      <c r="AM2" s="87"/>
    </row>
    <row r="3" spans="1:52" ht="7.5" customHeight="1">
      <c r="A3" s="72"/>
      <c r="B3" s="72"/>
      <c r="C3" s="72"/>
      <c r="D3" s="73"/>
      <c r="E3" s="73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74"/>
      <c r="AB3" s="74"/>
      <c r="AC3" s="74"/>
      <c r="AD3" s="76"/>
      <c r="AE3" s="76"/>
      <c r="AF3" s="76"/>
      <c r="AG3" s="76"/>
      <c r="AH3" s="76"/>
      <c r="AI3" s="76"/>
      <c r="AJ3" s="76"/>
      <c r="AK3" s="76"/>
      <c r="AL3" s="76"/>
      <c r="AM3" s="76"/>
    </row>
    <row r="4" spans="1:52" ht="25.5" customHeight="1">
      <c r="A4" s="211"/>
      <c r="B4" s="214" t="s">
        <v>114</v>
      </c>
      <c r="C4" s="217" t="s">
        <v>116</v>
      </c>
      <c r="D4" s="219" t="s">
        <v>117</v>
      </c>
      <c r="E4" s="77"/>
      <c r="F4" s="78" t="s">
        <v>118</v>
      </c>
      <c r="G4" s="224">
        <v>4</v>
      </c>
      <c r="H4" s="225"/>
      <c r="I4" s="225"/>
      <c r="J4" s="225"/>
      <c r="K4" s="226"/>
      <c r="L4" s="227">
        <v>5</v>
      </c>
      <c r="M4" s="225"/>
      <c r="N4" s="225"/>
      <c r="O4" s="225"/>
      <c r="P4" s="226"/>
      <c r="Q4" s="227">
        <v>6</v>
      </c>
      <c r="R4" s="225"/>
      <c r="S4" s="225"/>
      <c r="T4" s="225"/>
      <c r="U4" s="226"/>
      <c r="V4" s="227">
        <v>7</v>
      </c>
      <c r="W4" s="225"/>
      <c r="X4" s="225"/>
      <c r="Y4" s="225"/>
      <c r="Z4" s="226"/>
      <c r="AA4" s="227">
        <v>8</v>
      </c>
      <c r="AB4" s="225"/>
      <c r="AC4" s="225"/>
      <c r="AD4" s="225"/>
      <c r="AE4" s="226"/>
      <c r="AF4" s="227">
        <v>9</v>
      </c>
      <c r="AG4" s="225"/>
      <c r="AH4" s="225"/>
      <c r="AI4" s="225"/>
      <c r="AJ4" s="282"/>
    </row>
    <row r="5" spans="1:52" ht="25.5" customHeight="1">
      <c r="A5" s="212"/>
      <c r="B5" s="215"/>
      <c r="C5" s="218"/>
      <c r="D5" s="220"/>
      <c r="E5" s="79"/>
      <c r="F5" s="78" t="s">
        <v>119</v>
      </c>
      <c r="G5" s="135"/>
      <c r="H5" s="136"/>
      <c r="I5" s="135"/>
      <c r="J5" s="136"/>
      <c r="K5" s="137"/>
      <c r="L5" s="135"/>
      <c r="M5" s="136"/>
      <c r="N5" s="136"/>
      <c r="O5" s="136"/>
      <c r="P5" s="138"/>
      <c r="Q5" s="136"/>
      <c r="R5" s="136"/>
      <c r="S5" s="136"/>
      <c r="T5" s="136"/>
      <c r="U5" s="138"/>
      <c r="V5" s="136"/>
      <c r="W5" s="136"/>
      <c r="X5" s="136"/>
      <c r="Y5" s="136"/>
      <c r="Z5" s="136"/>
      <c r="AA5" s="136"/>
      <c r="AB5" s="136"/>
      <c r="AC5" s="136"/>
      <c r="AD5" s="136"/>
      <c r="AE5" s="138"/>
      <c r="AF5" s="136"/>
      <c r="AG5" s="136"/>
      <c r="AH5" s="136"/>
      <c r="AI5" s="136"/>
      <c r="AJ5" s="142"/>
      <c r="AN5" s="283" t="s">
        <v>115</v>
      </c>
      <c r="AO5" s="277" t="s">
        <v>40</v>
      </c>
      <c r="AP5" s="277"/>
      <c r="AQ5" s="277" t="s">
        <v>129</v>
      </c>
      <c r="AR5" s="277"/>
      <c r="AS5" s="277" t="s">
        <v>42</v>
      </c>
      <c r="AT5" s="277"/>
      <c r="AU5" s="277" t="s">
        <v>43</v>
      </c>
      <c r="AV5" s="277"/>
      <c r="AW5" s="277" t="s">
        <v>44</v>
      </c>
      <c r="AX5" s="277"/>
      <c r="AY5" s="277" t="s">
        <v>45</v>
      </c>
      <c r="AZ5" s="277"/>
    </row>
    <row r="6" spans="1:52" ht="25.5" customHeight="1" thickBot="1">
      <c r="A6" s="213"/>
      <c r="B6" s="216"/>
      <c r="C6" s="216"/>
      <c r="D6" s="221"/>
      <c r="E6" s="80"/>
      <c r="F6" s="81" t="s">
        <v>120</v>
      </c>
      <c r="G6" s="139"/>
      <c r="H6" s="140"/>
      <c r="I6" s="140"/>
      <c r="J6" s="140"/>
      <c r="K6" s="141"/>
      <c r="L6" s="140"/>
      <c r="M6" s="140"/>
      <c r="N6" s="140"/>
      <c r="O6" s="140"/>
      <c r="P6" s="141"/>
      <c r="Q6" s="140"/>
      <c r="R6" s="140"/>
      <c r="S6" s="140"/>
      <c r="T6" s="140"/>
      <c r="U6" s="141"/>
      <c r="V6" s="140"/>
      <c r="W6" s="140"/>
      <c r="X6" s="140"/>
      <c r="Y6" s="140"/>
      <c r="Z6" s="140"/>
      <c r="AA6" s="140"/>
      <c r="AB6" s="140"/>
      <c r="AC6" s="140"/>
      <c r="AD6" s="140"/>
      <c r="AE6" s="141"/>
      <c r="AF6" s="140"/>
      <c r="AG6" s="140"/>
      <c r="AH6" s="140"/>
      <c r="AI6" s="140"/>
      <c r="AJ6" s="143"/>
      <c r="AN6" s="283"/>
      <c r="AO6" s="85" t="s">
        <v>127</v>
      </c>
      <c r="AP6" s="85" t="s">
        <v>128</v>
      </c>
      <c r="AQ6" s="85" t="s">
        <v>127</v>
      </c>
      <c r="AR6" s="85" t="s">
        <v>128</v>
      </c>
      <c r="AS6" s="85" t="s">
        <v>127</v>
      </c>
      <c r="AT6" s="85" t="s">
        <v>128</v>
      </c>
      <c r="AU6" s="85" t="s">
        <v>127</v>
      </c>
      <c r="AV6" s="85" t="s">
        <v>128</v>
      </c>
      <c r="AW6" s="85" t="s">
        <v>127</v>
      </c>
      <c r="AX6" s="85" t="s">
        <v>128</v>
      </c>
      <c r="AY6" s="85" t="s">
        <v>127</v>
      </c>
      <c r="AZ6" s="85" t="s">
        <v>128</v>
      </c>
    </row>
    <row r="7" spans="1:52" ht="32.25" customHeight="1" thickTop="1">
      <c r="A7" s="230">
        <v>1</v>
      </c>
      <c r="B7" s="130"/>
      <c r="C7" s="234"/>
      <c r="D7" s="236" t="s">
        <v>121</v>
      </c>
      <c r="E7" s="237"/>
      <c r="F7" s="238"/>
      <c r="G7" s="24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48"/>
      <c r="AN7" s="232" t="e">
        <f>VLOOKUP(B7,利用者名簿!$B:$D,3,FALSE)</f>
        <v>#N/A</v>
      </c>
      <c r="AO7" s="277" t="str">
        <f>IF(COUNTIF(G7:K8, "○") &gt; 0, "〇", "")</f>
        <v/>
      </c>
      <c r="AP7" s="277" t="e">
        <f>IF(AND(AO7="〇", AN7="〇" ), "対象", "")</f>
        <v>#N/A</v>
      </c>
      <c r="AQ7" s="277" t="str">
        <f>IF(COUNTIF(L7:P8, "○") &gt; 0, "〇", "")</f>
        <v/>
      </c>
      <c r="AR7" s="277" t="e">
        <f>IF(AND(AQ7="〇", AN7="〇" ), "対象", "")</f>
        <v>#N/A</v>
      </c>
      <c r="AS7" s="277" t="str">
        <f>IF(COUNTIF(Q7:U8, "○") &gt; 0, "〇", "")</f>
        <v/>
      </c>
      <c r="AT7" s="277" t="e">
        <f>IF(AND(AS7="〇", AN7="〇" ), "対象", "")</f>
        <v>#N/A</v>
      </c>
      <c r="AU7" s="277" t="str">
        <f>IF(COUNTIF(V7:Z8, "○") &gt; 0, "〇", "")</f>
        <v/>
      </c>
      <c r="AV7" s="277" t="e">
        <f>IF(AND(AU7="〇", AN7="〇" ), "対象", "")</f>
        <v>#N/A</v>
      </c>
      <c r="AW7" s="277" t="str">
        <f>IF(COUNTIF(AA7:AE8, "○") &gt; 0, "〇", "")</f>
        <v/>
      </c>
      <c r="AX7" s="277" t="e">
        <f>IF(AND(AW7="〇", AN7="〇" ), "対象", "")</f>
        <v>#N/A</v>
      </c>
      <c r="AY7" s="277" t="str">
        <f>IF(COUNTIF(AF7:AJ8, "○") &gt; 0, "〇", "")</f>
        <v/>
      </c>
      <c r="AZ7" s="277" t="e">
        <f>IF(AND(AY7="〇", AN7="〇" ), "対象", "")</f>
        <v>#N/A</v>
      </c>
    </row>
    <row r="8" spans="1:52" ht="24" customHeight="1">
      <c r="A8" s="231"/>
      <c r="B8" s="131" t="s">
        <v>122</v>
      </c>
      <c r="C8" s="235"/>
      <c r="D8" s="239"/>
      <c r="E8" s="240"/>
      <c r="F8" s="241"/>
      <c r="G8" s="24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49"/>
      <c r="AN8" s="233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</row>
    <row r="9" spans="1:52" ht="32.25" customHeight="1">
      <c r="A9" s="246">
        <v>2</v>
      </c>
      <c r="B9" s="132"/>
      <c r="C9" s="250"/>
      <c r="D9" s="252" t="s">
        <v>121</v>
      </c>
      <c r="E9" s="253"/>
      <c r="F9" s="254"/>
      <c r="G9" s="255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44"/>
      <c r="AN9" s="257" t="e">
        <f>VLOOKUP(B9,利用者名簿!$B:$D,3,FALSE)</f>
        <v>#N/A</v>
      </c>
      <c r="AO9" s="277" t="str">
        <f t="shared" ref="AO9" si="0">IF(COUNTIF(G9:K10, "○") &gt; 0, "〇", "")</f>
        <v/>
      </c>
      <c r="AP9" s="277" t="e">
        <f>IF(AND(AO9="〇", AN9="〇" ), "対象", "")</f>
        <v>#N/A</v>
      </c>
      <c r="AQ9" s="277" t="str">
        <f t="shared" ref="AQ9" si="1">IF(COUNTIF(L9:P10, "○") &gt; 0, "〇", "")</f>
        <v/>
      </c>
      <c r="AR9" s="277" t="e">
        <f>IF(AND(AQ9="〇", AN9="〇" ), "対象", "")</f>
        <v>#N/A</v>
      </c>
      <c r="AS9" s="277" t="str">
        <f t="shared" ref="AS9" si="2">IF(COUNTIF(Q9:U10, "○") &gt; 0, "〇", "")</f>
        <v/>
      </c>
      <c r="AT9" s="277" t="e">
        <f>IF(AND(AS9="〇", AN9="〇" ), "対象", "")</f>
        <v>#N/A</v>
      </c>
      <c r="AU9" s="277" t="str">
        <f t="shared" ref="AU9" si="3">IF(COUNTIF(V9:Z10, "○") &gt; 0, "〇", "")</f>
        <v/>
      </c>
      <c r="AV9" s="277" t="e">
        <f>IF(AND(AU9="〇", AN9="〇" ), "対象", "")</f>
        <v>#N/A</v>
      </c>
      <c r="AW9" s="277" t="str">
        <f t="shared" ref="AW9" si="4">IF(COUNTIF(AA9:AE10, "○") &gt; 0, "〇", "")</f>
        <v/>
      </c>
      <c r="AX9" s="277" t="e">
        <f>IF(AND(AW9="〇", AN9="〇" ), "対象", "")</f>
        <v>#N/A</v>
      </c>
      <c r="AY9" s="277" t="str">
        <f t="shared" ref="AY9" si="5">IF(COUNTIF(AF9:AJ10, "○") &gt; 0, "〇", "")</f>
        <v/>
      </c>
      <c r="AZ9" s="277" t="e">
        <f>IF(AND(AY9="〇", AN9="〇" ), "対象", "")</f>
        <v>#N/A</v>
      </c>
    </row>
    <row r="10" spans="1:52" ht="24" customHeight="1">
      <c r="A10" s="247"/>
      <c r="B10" s="131" t="s">
        <v>122</v>
      </c>
      <c r="C10" s="251"/>
      <c r="D10" s="239"/>
      <c r="E10" s="240"/>
      <c r="F10" s="241"/>
      <c r="G10" s="256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45"/>
      <c r="AN10" s="233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</row>
    <row r="11" spans="1:52" ht="32.25" customHeight="1">
      <c r="A11" s="246">
        <v>3</v>
      </c>
      <c r="B11" s="132"/>
      <c r="C11" s="250"/>
      <c r="D11" s="252" t="s">
        <v>121</v>
      </c>
      <c r="E11" s="253"/>
      <c r="F11" s="254"/>
      <c r="G11" s="255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44"/>
      <c r="AN11" s="257" t="e">
        <f>VLOOKUP(B11,利用者名簿!$B:$D,3,FALSE)</f>
        <v>#N/A</v>
      </c>
      <c r="AO11" s="277" t="str">
        <f t="shared" ref="AO11" si="6">IF(COUNTIF(G11:K12, "○") &gt; 0, "〇", "")</f>
        <v/>
      </c>
      <c r="AP11" s="277" t="e">
        <f>IF(AND(AO11="〇", AN11="〇" ), "対象", "")</f>
        <v>#N/A</v>
      </c>
      <c r="AQ11" s="277" t="str">
        <f t="shared" ref="AQ11" si="7">IF(COUNTIF(L11:P12, "○") &gt; 0, "〇", "")</f>
        <v/>
      </c>
      <c r="AR11" s="277" t="e">
        <f>IF(AND(AQ11="〇", AN11="〇" ), "対象", "")</f>
        <v>#N/A</v>
      </c>
      <c r="AS11" s="277" t="str">
        <f t="shared" ref="AS11" si="8">IF(COUNTIF(Q11:U12, "○") &gt; 0, "〇", "")</f>
        <v/>
      </c>
      <c r="AT11" s="277" t="e">
        <f>IF(AND(AS11="〇", AN11="〇" ), "対象", "")</f>
        <v>#N/A</v>
      </c>
      <c r="AU11" s="277" t="str">
        <f t="shared" ref="AU11" si="9">IF(COUNTIF(V11:Z12, "○") &gt; 0, "〇", "")</f>
        <v/>
      </c>
      <c r="AV11" s="277" t="e">
        <f>IF(AND(AU11="〇", AN11="〇" ), "対象", "")</f>
        <v>#N/A</v>
      </c>
      <c r="AW11" s="277" t="str">
        <f t="shared" ref="AW11" si="10">IF(COUNTIF(AA11:AE12, "○") &gt; 0, "〇", "")</f>
        <v/>
      </c>
      <c r="AX11" s="277" t="e">
        <f>IF(AND(AW11="〇", AN11="〇" ), "対象", "")</f>
        <v>#N/A</v>
      </c>
      <c r="AY11" s="277" t="str">
        <f t="shared" ref="AY11" si="11">IF(COUNTIF(AF11:AJ12, "○") &gt; 0, "〇", "")</f>
        <v/>
      </c>
      <c r="AZ11" s="277" t="e">
        <f>IF(AND(AY11="〇", AN11="〇" ), "対象", "")</f>
        <v>#N/A</v>
      </c>
    </row>
    <row r="12" spans="1:52" ht="24" customHeight="1">
      <c r="A12" s="247"/>
      <c r="B12" s="131" t="s">
        <v>122</v>
      </c>
      <c r="C12" s="251"/>
      <c r="D12" s="239"/>
      <c r="E12" s="240"/>
      <c r="F12" s="241"/>
      <c r="G12" s="256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45"/>
      <c r="AN12" s="233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</row>
    <row r="13" spans="1:52" ht="32.25" customHeight="1">
      <c r="A13" s="246">
        <v>4</v>
      </c>
      <c r="B13" s="132"/>
      <c r="C13" s="250"/>
      <c r="D13" s="252" t="s">
        <v>121</v>
      </c>
      <c r="E13" s="253"/>
      <c r="F13" s="254"/>
      <c r="G13" s="255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44"/>
      <c r="AN13" s="257" t="e">
        <f>VLOOKUP(B13,利用者名簿!$B:$D,3,FALSE)</f>
        <v>#N/A</v>
      </c>
      <c r="AO13" s="277" t="str">
        <f t="shared" ref="AO13" si="12">IF(COUNTIF(G13:K14, "○") &gt; 0, "〇", "")</f>
        <v/>
      </c>
      <c r="AP13" s="277" t="e">
        <f>IF(AND(AO13="〇", AN13="〇" ), "対象", "")</f>
        <v>#N/A</v>
      </c>
      <c r="AQ13" s="277" t="str">
        <f t="shared" ref="AQ13" si="13">IF(COUNTIF(L13:P14, "○") &gt; 0, "〇", "")</f>
        <v/>
      </c>
      <c r="AR13" s="277" t="e">
        <f>IF(AND(AQ13="〇", AN13="〇" ), "対象", "")</f>
        <v>#N/A</v>
      </c>
      <c r="AS13" s="277" t="str">
        <f t="shared" ref="AS13" si="14">IF(COUNTIF(Q13:U14, "○") &gt; 0, "〇", "")</f>
        <v/>
      </c>
      <c r="AT13" s="277" t="e">
        <f>IF(AND(AS13="〇", AN13="〇" ), "対象", "")</f>
        <v>#N/A</v>
      </c>
      <c r="AU13" s="277" t="str">
        <f t="shared" ref="AU13" si="15">IF(COUNTIF(V13:Z14, "○") &gt; 0, "〇", "")</f>
        <v/>
      </c>
      <c r="AV13" s="277" t="e">
        <f>IF(AND(AU13="〇", AN13="〇" ), "対象", "")</f>
        <v>#N/A</v>
      </c>
      <c r="AW13" s="277" t="str">
        <f t="shared" ref="AW13" si="16">IF(COUNTIF(AA13:AE14, "○") &gt; 0, "〇", "")</f>
        <v/>
      </c>
      <c r="AX13" s="277" t="e">
        <f>IF(AND(AW13="〇", AN13="〇" ), "対象", "")</f>
        <v>#N/A</v>
      </c>
      <c r="AY13" s="277" t="str">
        <f t="shared" ref="AY13" si="17">IF(COUNTIF(AF13:AJ14, "○") &gt; 0, "〇", "")</f>
        <v/>
      </c>
      <c r="AZ13" s="277" t="e">
        <f>IF(AND(AY13="〇", AN13="〇" ), "対象", "")</f>
        <v>#N/A</v>
      </c>
    </row>
    <row r="14" spans="1:52" ht="24" customHeight="1">
      <c r="A14" s="247"/>
      <c r="B14" s="131" t="s">
        <v>122</v>
      </c>
      <c r="C14" s="251"/>
      <c r="D14" s="239"/>
      <c r="E14" s="240"/>
      <c r="F14" s="241"/>
      <c r="G14" s="256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45"/>
      <c r="AN14" s="233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</row>
    <row r="15" spans="1:52" ht="32.25" customHeight="1">
      <c r="A15" s="246">
        <v>5</v>
      </c>
      <c r="B15" s="132"/>
      <c r="C15" s="250"/>
      <c r="D15" s="252" t="s">
        <v>121</v>
      </c>
      <c r="E15" s="253"/>
      <c r="F15" s="254"/>
      <c r="G15" s="255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44"/>
      <c r="AN15" s="257" t="e">
        <f>VLOOKUP(B15,利用者名簿!$B:$D,3,FALSE)</f>
        <v>#N/A</v>
      </c>
      <c r="AO15" s="277" t="str">
        <f t="shared" ref="AO15" si="18">IF(COUNTIF(G15:K16, "○") &gt; 0, "〇", "")</f>
        <v/>
      </c>
      <c r="AP15" s="277" t="e">
        <f>IF(AND(AO15="〇", AN15="〇" ), "対象", "")</f>
        <v>#N/A</v>
      </c>
      <c r="AQ15" s="277" t="str">
        <f t="shared" ref="AQ15" si="19">IF(COUNTIF(L15:P16, "○") &gt; 0, "〇", "")</f>
        <v/>
      </c>
      <c r="AR15" s="277" t="e">
        <f>IF(AND(AQ15="〇", AN15="〇" ), "対象", "")</f>
        <v>#N/A</v>
      </c>
      <c r="AS15" s="277" t="str">
        <f t="shared" ref="AS15" si="20">IF(COUNTIF(Q15:U16, "○") &gt; 0, "〇", "")</f>
        <v/>
      </c>
      <c r="AT15" s="277" t="e">
        <f>IF(AND(AS15="〇", AN15="〇" ), "対象", "")</f>
        <v>#N/A</v>
      </c>
      <c r="AU15" s="277" t="str">
        <f t="shared" ref="AU15" si="21">IF(COUNTIF(V15:Z16, "○") &gt; 0, "〇", "")</f>
        <v/>
      </c>
      <c r="AV15" s="277" t="e">
        <f>IF(AND(AU15="〇", AN15="〇" ), "対象", "")</f>
        <v>#N/A</v>
      </c>
      <c r="AW15" s="277" t="str">
        <f t="shared" ref="AW15" si="22">IF(COUNTIF(AA15:AE16, "○") &gt; 0, "〇", "")</f>
        <v/>
      </c>
      <c r="AX15" s="277" t="e">
        <f>IF(AND(AW15="〇", AN15="〇" ), "対象", "")</f>
        <v>#N/A</v>
      </c>
      <c r="AY15" s="277" t="str">
        <f t="shared" ref="AY15" si="23">IF(COUNTIF(AF15:AJ16, "○") &gt; 0, "〇", "")</f>
        <v/>
      </c>
      <c r="AZ15" s="277" t="e">
        <f>IF(AND(AY15="〇", AN15="〇" ), "対象", "")</f>
        <v>#N/A</v>
      </c>
    </row>
    <row r="16" spans="1:52" ht="24" customHeight="1">
      <c r="A16" s="247"/>
      <c r="B16" s="131" t="s">
        <v>122</v>
      </c>
      <c r="C16" s="251"/>
      <c r="D16" s="239"/>
      <c r="E16" s="240"/>
      <c r="F16" s="241"/>
      <c r="G16" s="256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45"/>
      <c r="AN16" s="233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</row>
    <row r="17" spans="1:52" ht="32.25" customHeight="1">
      <c r="A17" s="246">
        <v>6</v>
      </c>
      <c r="B17" s="132"/>
      <c r="C17" s="250"/>
      <c r="D17" s="252" t="s">
        <v>121</v>
      </c>
      <c r="E17" s="253"/>
      <c r="F17" s="254"/>
      <c r="G17" s="255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44"/>
      <c r="AN17" s="257" t="e">
        <f>VLOOKUP(B17,利用者名簿!$B:$D,3,FALSE)</f>
        <v>#N/A</v>
      </c>
      <c r="AO17" s="277" t="str">
        <f t="shared" ref="AO17" si="24">IF(COUNTIF(G17:K18, "○") &gt; 0, "〇", "")</f>
        <v/>
      </c>
      <c r="AP17" s="277" t="e">
        <f>IF(AND(AO17="〇", AN17="〇" ), "対象", "")</f>
        <v>#N/A</v>
      </c>
      <c r="AQ17" s="277" t="str">
        <f t="shared" ref="AQ17" si="25">IF(COUNTIF(L17:P18, "○") &gt; 0, "〇", "")</f>
        <v/>
      </c>
      <c r="AR17" s="277" t="e">
        <f>IF(AND(AQ17="〇", AN17="〇" ), "対象", "")</f>
        <v>#N/A</v>
      </c>
      <c r="AS17" s="277" t="str">
        <f t="shared" ref="AS17" si="26">IF(COUNTIF(Q17:U18, "○") &gt; 0, "〇", "")</f>
        <v/>
      </c>
      <c r="AT17" s="277" t="e">
        <f>IF(AND(AS17="〇", AN17="〇" ), "対象", "")</f>
        <v>#N/A</v>
      </c>
      <c r="AU17" s="277" t="str">
        <f t="shared" ref="AU17" si="27">IF(COUNTIF(V17:Z18, "○") &gt; 0, "〇", "")</f>
        <v/>
      </c>
      <c r="AV17" s="277" t="e">
        <f>IF(AND(AU17="〇", AN17="〇" ), "対象", "")</f>
        <v>#N/A</v>
      </c>
      <c r="AW17" s="277" t="str">
        <f t="shared" ref="AW17" si="28">IF(COUNTIF(AA17:AE18, "○") &gt; 0, "〇", "")</f>
        <v/>
      </c>
      <c r="AX17" s="277" t="e">
        <f>IF(AND(AW17="〇", AN17="〇" ), "対象", "")</f>
        <v>#N/A</v>
      </c>
      <c r="AY17" s="277" t="str">
        <f t="shared" ref="AY17" si="29">IF(COUNTIF(AF17:AJ18, "○") &gt; 0, "〇", "")</f>
        <v/>
      </c>
      <c r="AZ17" s="277" t="e">
        <f>IF(AND(AY17="〇", AN17="〇" ), "対象", "")</f>
        <v>#N/A</v>
      </c>
    </row>
    <row r="18" spans="1:52" ht="24" customHeight="1">
      <c r="A18" s="247"/>
      <c r="B18" s="131" t="s">
        <v>122</v>
      </c>
      <c r="C18" s="251"/>
      <c r="D18" s="239"/>
      <c r="E18" s="240"/>
      <c r="F18" s="241"/>
      <c r="G18" s="258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81"/>
      <c r="AN18" s="233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</row>
    <row r="19" spans="1:52" ht="32.25" customHeight="1">
      <c r="A19" s="246">
        <v>7</v>
      </c>
      <c r="B19" s="132"/>
      <c r="C19" s="250"/>
      <c r="D19" s="252" t="s">
        <v>121</v>
      </c>
      <c r="E19" s="253"/>
      <c r="F19" s="254"/>
      <c r="G19" s="255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44"/>
      <c r="AN19" s="257" t="e">
        <f>VLOOKUP(B19,利用者名簿!$B:$D,3,FALSE)</f>
        <v>#N/A</v>
      </c>
      <c r="AO19" s="277" t="str">
        <f t="shared" ref="AO19" si="30">IF(COUNTIF(G19:K20, "○") &gt; 0, "〇", "")</f>
        <v/>
      </c>
      <c r="AP19" s="277" t="e">
        <f>IF(AND(AO19="〇", AN19="〇" ), "対象", "")</f>
        <v>#N/A</v>
      </c>
      <c r="AQ19" s="277" t="str">
        <f t="shared" ref="AQ19" si="31">IF(COUNTIF(L19:P20, "○") &gt; 0, "〇", "")</f>
        <v/>
      </c>
      <c r="AR19" s="277" t="e">
        <f>IF(AND(AQ19="〇", AN19="〇" ), "対象", "")</f>
        <v>#N/A</v>
      </c>
      <c r="AS19" s="277" t="str">
        <f t="shared" ref="AS19" si="32">IF(COUNTIF(Q19:U20, "○") &gt; 0, "〇", "")</f>
        <v/>
      </c>
      <c r="AT19" s="277" t="e">
        <f>IF(AND(AS19="〇", AN19="〇" ), "対象", "")</f>
        <v>#N/A</v>
      </c>
      <c r="AU19" s="277" t="str">
        <f t="shared" ref="AU19" si="33">IF(COUNTIF(V19:Z20, "○") &gt; 0, "〇", "")</f>
        <v/>
      </c>
      <c r="AV19" s="277" t="e">
        <f>IF(AND(AU19="〇", AN19="〇" ), "対象", "")</f>
        <v>#N/A</v>
      </c>
      <c r="AW19" s="277" t="str">
        <f t="shared" ref="AW19" si="34">IF(COUNTIF(AA19:AE20, "○") &gt; 0, "〇", "")</f>
        <v/>
      </c>
      <c r="AX19" s="277" t="e">
        <f>IF(AND(AW19="〇", AN19="〇" ), "対象", "")</f>
        <v>#N/A</v>
      </c>
      <c r="AY19" s="277" t="str">
        <f t="shared" ref="AY19" si="35">IF(COUNTIF(AF19:AJ20, "○") &gt; 0, "〇", "")</f>
        <v/>
      </c>
      <c r="AZ19" s="277" t="e">
        <f>IF(AND(AY19="〇", AN19="〇" ), "対象", "")</f>
        <v>#N/A</v>
      </c>
    </row>
    <row r="20" spans="1:52" ht="24" customHeight="1">
      <c r="A20" s="247"/>
      <c r="B20" s="131" t="s">
        <v>122</v>
      </c>
      <c r="C20" s="251"/>
      <c r="D20" s="239"/>
      <c r="E20" s="240"/>
      <c r="F20" s="241"/>
      <c r="G20" s="258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81"/>
      <c r="AN20" s="233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</row>
    <row r="21" spans="1:52" ht="32.25" customHeight="1">
      <c r="A21" s="246">
        <v>8</v>
      </c>
      <c r="B21" s="133"/>
      <c r="C21" s="250"/>
      <c r="D21" s="252" t="s">
        <v>121</v>
      </c>
      <c r="E21" s="253"/>
      <c r="F21" s="254"/>
      <c r="G21" s="259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3"/>
      <c r="AJ21" s="265"/>
      <c r="AN21" s="257" t="e">
        <f>VLOOKUP(B21,利用者名簿!$B:$D,3,FALSE)</f>
        <v>#N/A</v>
      </c>
      <c r="AO21" s="277" t="str">
        <f t="shared" ref="AO21" si="36">IF(COUNTIF(G21:K22, "○") &gt; 0, "〇", "")</f>
        <v/>
      </c>
      <c r="AP21" s="277" t="e">
        <f>IF(AND(AO21="〇", AN21="〇" ), "対象", "")</f>
        <v>#N/A</v>
      </c>
      <c r="AQ21" s="277" t="str">
        <f t="shared" ref="AQ21" si="37">IF(COUNTIF(L21:P22, "○") &gt; 0, "〇", "")</f>
        <v/>
      </c>
      <c r="AR21" s="277" t="e">
        <f>IF(AND(AQ21="〇", AN21="〇" ), "対象", "")</f>
        <v>#N/A</v>
      </c>
      <c r="AS21" s="277" t="str">
        <f t="shared" ref="AS21" si="38">IF(COUNTIF(Q21:U22, "○") &gt; 0, "〇", "")</f>
        <v/>
      </c>
      <c r="AT21" s="277" t="e">
        <f>IF(AND(AS21="〇", AN21="〇" ), "対象", "")</f>
        <v>#N/A</v>
      </c>
      <c r="AU21" s="277" t="str">
        <f t="shared" ref="AU21" si="39">IF(COUNTIF(V21:Z22, "○") &gt; 0, "〇", "")</f>
        <v/>
      </c>
      <c r="AV21" s="277" t="e">
        <f>IF(AND(AU21="〇", AN21="〇" ), "対象", "")</f>
        <v>#N/A</v>
      </c>
      <c r="AW21" s="277" t="str">
        <f t="shared" ref="AW21" si="40">IF(COUNTIF(AA21:AE22, "○") &gt; 0, "〇", "")</f>
        <v/>
      </c>
      <c r="AX21" s="277" t="e">
        <f>IF(AND(AW21="〇", AN21="〇" ), "対象", "")</f>
        <v>#N/A</v>
      </c>
      <c r="AY21" s="277" t="str">
        <f t="shared" ref="AY21" si="41">IF(COUNTIF(AF21:AJ22, "○") &gt; 0, "〇", "")</f>
        <v/>
      </c>
      <c r="AZ21" s="277" t="e">
        <f>IF(AND(AY21="〇", AN21="〇" ), "対象", "")</f>
        <v>#N/A</v>
      </c>
    </row>
    <row r="22" spans="1:52" ht="24" customHeight="1">
      <c r="A22" s="247"/>
      <c r="B22" s="131" t="s">
        <v>122</v>
      </c>
      <c r="C22" s="251"/>
      <c r="D22" s="239"/>
      <c r="E22" s="240"/>
      <c r="F22" s="241"/>
      <c r="G22" s="260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4"/>
      <c r="AJ22" s="266"/>
      <c r="AN22" s="233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</row>
    <row r="23" spans="1:52" ht="32.25" customHeight="1">
      <c r="A23" s="246">
        <v>9</v>
      </c>
      <c r="B23" s="133"/>
      <c r="C23" s="250"/>
      <c r="D23" s="252" t="s">
        <v>121</v>
      </c>
      <c r="E23" s="253"/>
      <c r="F23" s="254"/>
      <c r="G23" s="259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3"/>
      <c r="AJ23" s="265"/>
      <c r="AN23" s="257" t="e">
        <f>VLOOKUP(B23,利用者名簿!$B:$D,3,FALSE)</f>
        <v>#N/A</v>
      </c>
      <c r="AO23" s="277" t="str">
        <f t="shared" ref="AO23" si="42">IF(COUNTIF(G23:K24, "○") &gt; 0, "〇", "")</f>
        <v/>
      </c>
      <c r="AP23" s="277" t="e">
        <f>IF(AND(AO23="〇", AN23="〇" ), "対象", "")</f>
        <v>#N/A</v>
      </c>
      <c r="AQ23" s="277" t="str">
        <f t="shared" ref="AQ23" si="43">IF(COUNTIF(L23:P24, "○") &gt; 0, "〇", "")</f>
        <v/>
      </c>
      <c r="AR23" s="277" t="e">
        <f>IF(AND(AQ23="〇", AN23="〇" ), "対象", "")</f>
        <v>#N/A</v>
      </c>
      <c r="AS23" s="277" t="str">
        <f t="shared" ref="AS23" si="44">IF(COUNTIF(Q23:U24, "○") &gt; 0, "〇", "")</f>
        <v/>
      </c>
      <c r="AT23" s="277" t="e">
        <f>IF(AND(AS23="〇", AN23="〇" ), "対象", "")</f>
        <v>#N/A</v>
      </c>
      <c r="AU23" s="277" t="str">
        <f t="shared" ref="AU23" si="45">IF(COUNTIF(V23:Z24, "○") &gt; 0, "〇", "")</f>
        <v/>
      </c>
      <c r="AV23" s="277" t="e">
        <f>IF(AND(AU23="〇", AN23="〇" ), "対象", "")</f>
        <v>#N/A</v>
      </c>
      <c r="AW23" s="277" t="str">
        <f t="shared" ref="AW23" si="46">IF(COUNTIF(AA23:AE24, "○") &gt; 0, "〇", "")</f>
        <v/>
      </c>
      <c r="AX23" s="277" t="e">
        <f>IF(AND(AW23="〇", AN23="〇" ), "対象", "")</f>
        <v>#N/A</v>
      </c>
      <c r="AY23" s="277" t="str">
        <f t="shared" ref="AY23" si="47">IF(COUNTIF(AF23:AJ24, "○") &gt; 0, "〇", "")</f>
        <v/>
      </c>
      <c r="AZ23" s="277" t="e">
        <f>IF(AND(AY23="〇", AN23="〇" ), "対象", "")</f>
        <v>#N/A</v>
      </c>
    </row>
    <row r="24" spans="1:52" ht="24" customHeight="1">
      <c r="A24" s="247"/>
      <c r="B24" s="131" t="s">
        <v>122</v>
      </c>
      <c r="C24" s="251"/>
      <c r="D24" s="239"/>
      <c r="E24" s="240"/>
      <c r="F24" s="241"/>
      <c r="G24" s="260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4"/>
      <c r="AJ24" s="266"/>
      <c r="AN24" s="233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</row>
    <row r="25" spans="1:52" ht="32.25" customHeight="1">
      <c r="A25" s="246">
        <v>10</v>
      </c>
      <c r="B25" s="133"/>
      <c r="C25" s="250"/>
      <c r="D25" s="252" t="s">
        <v>121</v>
      </c>
      <c r="E25" s="253"/>
      <c r="F25" s="254"/>
      <c r="G25" s="259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3"/>
      <c r="AJ25" s="265"/>
      <c r="AN25" s="257" t="e">
        <f>VLOOKUP(B25,利用者名簿!$B:$D,3,FALSE)</f>
        <v>#N/A</v>
      </c>
      <c r="AO25" s="277" t="str">
        <f t="shared" ref="AO25" si="48">IF(COUNTIF(G25:K26, "○") &gt; 0, "〇", "")</f>
        <v/>
      </c>
      <c r="AP25" s="277" t="e">
        <f>IF(AND(AO25="〇", AN25="〇" ), "対象", "")</f>
        <v>#N/A</v>
      </c>
      <c r="AQ25" s="277" t="str">
        <f t="shared" ref="AQ25" si="49">IF(COUNTIF(L25:P26, "○") &gt; 0, "〇", "")</f>
        <v/>
      </c>
      <c r="AR25" s="277" t="e">
        <f>IF(AND(AQ25="〇", AN25="〇" ), "対象", "")</f>
        <v>#N/A</v>
      </c>
      <c r="AS25" s="277" t="str">
        <f t="shared" ref="AS25" si="50">IF(COUNTIF(Q25:U26, "○") &gt; 0, "〇", "")</f>
        <v/>
      </c>
      <c r="AT25" s="277" t="e">
        <f>IF(AND(AS25="〇", AN25="〇" ), "対象", "")</f>
        <v>#N/A</v>
      </c>
      <c r="AU25" s="277" t="str">
        <f t="shared" ref="AU25" si="51">IF(COUNTIF(V25:Z26, "○") &gt; 0, "〇", "")</f>
        <v/>
      </c>
      <c r="AV25" s="277" t="e">
        <f>IF(AND(AU25="〇", AN25="〇" ), "対象", "")</f>
        <v>#N/A</v>
      </c>
      <c r="AW25" s="277" t="str">
        <f t="shared" ref="AW25" si="52">IF(COUNTIF(AA25:AE26, "○") &gt; 0, "〇", "")</f>
        <v/>
      </c>
      <c r="AX25" s="277" t="e">
        <f>IF(AND(AW25="〇", AN25="〇" ), "対象", "")</f>
        <v>#N/A</v>
      </c>
      <c r="AY25" s="277" t="str">
        <f t="shared" ref="AY25" si="53">IF(COUNTIF(AF25:AJ26, "○") &gt; 0, "〇", "")</f>
        <v/>
      </c>
      <c r="AZ25" s="277" t="e">
        <f>IF(AND(AY25="〇", AN25="〇" ), "対象", "")</f>
        <v>#N/A</v>
      </c>
    </row>
    <row r="26" spans="1:52" ht="24" customHeight="1" thickBot="1">
      <c r="A26" s="267"/>
      <c r="B26" s="134" t="s">
        <v>122</v>
      </c>
      <c r="C26" s="268"/>
      <c r="D26" s="269"/>
      <c r="E26" s="270"/>
      <c r="F26" s="271"/>
      <c r="G26" s="272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5"/>
      <c r="AJ26" s="276"/>
      <c r="AN26" s="232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</row>
    <row r="27" spans="1:52" ht="40.5" customHeight="1" thickTop="1">
      <c r="A27" s="278" t="s">
        <v>123</v>
      </c>
      <c r="B27" s="279"/>
      <c r="C27" s="279"/>
      <c r="D27" s="279"/>
      <c r="E27" s="279"/>
      <c r="F27" s="280"/>
      <c r="G27" s="89"/>
      <c r="H27" s="82"/>
      <c r="I27" s="83"/>
      <c r="J27" s="82"/>
      <c r="K27" s="83"/>
      <c r="L27" s="82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2"/>
      <c r="AK27" s="88"/>
      <c r="AL27" s="86"/>
      <c r="AM27" s="86"/>
      <c r="AN27" s="85"/>
      <c r="AO27" s="85"/>
      <c r="AP27" s="85">
        <f>COUNTIF(AP7:AP26, "対象")</f>
        <v>0</v>
      </c>
      <c r="AQ27" s="85"/>
      <c r="AR27" s="85">
        <f t="shared" ref="AR27" si="54">COUNTIF(AR7:AR26, "対象")</f>
        <v>0</v>
      </c>
      <c r="AS27" s="85"/>
      <c r="AT27" s="85">
        <f t="shared" ref="AT27" si="55">COUNTIF(AT7:AT26, "対象")</f>
        <v>0</v>
      </c>
      <c r="AU27" s="85"/>
      <c r="AV27" s="85">
        <f t="shared" ref="AV27" si="56">COUNTIF(AV7:AV26, "対象")</f>
        <v>0</v>
      </c>
      <c r="AW27" s="85"/>
      <c r="AX27" s="85">
        <f>COUNTIF(AX7:AX26, "対象")</f>
        <v>0</v>
      </c>
      <c r="AY27" s="85"/>
      <c r="AZ27" s="85">
        <f t="shared" ref="AZ27" si="57">COUNTIF(AZ7:AZ26, "対象")</f>
        <v>0</v>
      </c>
    </row>
    <row r="28" spans="1:52" ht="18" customHeight="1">
      <c r="A28" s="273" t="s">
        <v>124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84"/>
      <c r="AM28" s="84"/>
    </row>
    <row r="29" spans="1:52" ht="18" customHeight="1">
      <c r="A29" s="273" t="s">
        <v>125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84"/>
      <c r="AM29" s="84"/>
    </row>
    <row r="30" spans="1:52" ht="18" customHeight="1">
      <c r="A30" s="273" t="s">
        <v>126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84"/>
      <c r="AM30" s="84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63" customWidth="1"/>
    <col min="2" max="2" width="27.625" style="63" customWidth="1"/>
    <col min="3" max="3" width="7.125" style="63" bestFit="1" customWidth="1"/>
    <col min="4" max="4" width="7.25" style="63" customWidth="1"/>
    <col min="5" max="5" width="1.25" style="64" customWidth="1"/>
    <col min="6" max="6" width="6" style="64" customWidth="1"/>
    <col min="7" max="7" width="4.375" style="64" customWidth="1"/>
    <col min="8" max="39" width="4.375" style="63" customWidth="1"/>
    <col min="40" max="16384" width="9" style="63"/>
  </cols>
  <sheetData>
    <row r="1" spans="1:52" ht="21.75" customHeight="1">
      <c r="A1" s="62"/>
      <c r="AK1" s="65" t="s">
        <v>112</v>
      </c>
      <c r="AL1" s="65"/>
      <c r="AM1" s="65"/>
    </row>
    <row r="2" spans="1:52" s="71" customFormat="1" ht="24" customHeight="1">
      <c r="A2" s="66" t="s">
        <v>145</v>
      </c>
      <c r="B2" s="66"/>
      <c r="C2" s="66"/>
      <c r="D2" s="67" t="s">
        <v>146</v>
      </c>
      <c r="E2" s="68"/>
      <c r="F2" s="210" t="s">
        <v>133</v>
      </c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69"/>
      <c r="AA2" s="210" t="s">
        <v>113</v>
      </c>
      <c r="AB2" s="210"/>
      <c r="AC2" s="210"/>
      <c r="AD2" s="90">
        <f>利用者名簿!G25</f>
        <v>0</v>
      </c>
      <c r="AE2" s="70"/>
      <c r="AF2" s="70"/>
      <c r="AG2" s="70"/>
      <c r="AH2" s="70"/>
      <c r="AI2" s="70"/>
      <c r="AJ2" s="70"/>
      <c r="AK2" s="70"/>
      <c r="AL2" s="87"/>
      <c r="AM2" s="87"/>
    </row>
    <row r="3" spans="1:52" ht="7.5" customHeight="1">
      <c r="A3" s="72"/>
      <c r="B3" s="72"/>
      <c r="C3" s="72"/>
      <c r="D3" s="73"/>
      <c r="E3" s="73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74"/>
      <c r="AB3" s="74"/>
      <c r="AC3" s="74"/>
      <c r="AD3" s="76"/>
      <c r="AE3" s="76"/>
      <c r="AF3" s="76"/>
      <c r="AG3" s="76"/>
      <c r="AH3" s="76"/>
      <c r="AI3" s="76"/>
      <c r="AJ3" s="76"/>
      <c r="AK3" s="76"/>
      <c r="AL3" s="76"/>
      <c r="AM3" s="76"/>
    </row>
    <row r="4" spans="1:52" ht="25.5" customHeight="1">
      <c r="A4" s="211"/>
      <c r="B4" s="214" t="s">
        <v>114</v>
      </c>
      <c r="C4" s="217" t="s">
        <v>116</v>
      </c>
      <c r="D4" s="219" t="s">
        <v>117</v>
      </c>
      <c r="E4" s="77"/>
      <c r="F4" s="78" t="s">
        <v>118</v>
      </c>
      <c r="G4" s="224">
        <v>10</v>
      </c>
      <c r="H4" s="225"/>
      <c r="I4" s="225"/>
      <c r="J4" s="225"/>
      <c r="K4" s="226"/>
      <c r="L4" s="227">
        <v>11</v>
      </c>
      <c r="M4" s="225"/>
      <c r="N4" s="225"/>
      <c r="O4" s="225"/>
      <c r="P4" s="226"/>
      <c r="Q4" s="227">
        <v>12</v>
      </c>
      <c r="R4" s="225"/>
      <c r="S4" s="225"/>
      <c r="T4" s="225"/>
      <c r="U4" s="226"/>
      <c r="V4" s="227">
        <v>1</v>
      </c>
      <c r="W4" s="225"/>
      <c r="X4" s="225"/>
      <c r="Y4" s="225"/>
      <c r="Z4" s="226"/>
      <c r="AA4" s="227">
        <v>2</v>
      </c>
      <c r="AB4" s="225"/>
      <c r="AC4" s="225"/>
      <c r="AD4" s="225"/>
      <c r="AE4" s="226"/>
      <c r="AF4" s="227">
        <v>3</v>
      </c>
      <c r="AG4" s="225"/>
      <c r="AH4" s="225"/>
      <c r="AI4" s="225"/>
      <c r="AJ4" s="282"/>
    </row>
    <row r="5" spans="1:52" ht="25.5" customHeight="1">
      <c r="A5" s="212"/>
      <c r="B5" s="215"/>
      <c r="C5" s="218"/>
      <c r="D5" s="220"/>
      <c r="E5" s="79"/>
      <c r="F5" s="78" t="s">
        <v>119</v>
      </c>
      <c r="G5" s="135"/>
      <c r="H5" s="136"/>
      <c r="I5" s="135"/>
      <c r="J5" s="136"/>
      <c r="K5" s="135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45"/>
      <c r="AJ5" s="146"/>
      <c r="AN5" s="283" t="s">
        <v>115</v>
      </c>
      <c r="AO5" s="277" t="s">
        <v>130</v>
      </c>
      <c r="AP5" s="277"/>
      <c r="AQ5" s="277" t="s">
        <v>131</v>
      </c>
      <c r="AR5" s="277"/>
      <c r="AS5" s="277" t="s">
        <v>132</v>
      </c>
      <c r="AT5" s="277"/>
      <c r="AU5" s="277" t="s">
        <v>50</v>
      </c>
      <c r="AV5" s="277"/>
      <c r="AW5" s="277" t="s">
        <v>52</v>
      </c>
      <c r="AX5" s="277"/>
      <c r="AY5" s="277" t="s">
        <v>54</v>
      </c>
      <c r="AZ5" s="277"/>
    </row>
    <row r="6" spans="1:52" ht="25.5" customHeight="1" thickBot="1">
      <c r="A6" s="213"/>
      <c r="B6" s="216"/>
      <c r="C6" s="216"/>
      <c r="D6" s="221"/>
      <c r="E6" s="80"/>
      <c r="F6" s="81" t="s">
        <v>120</v>
      </c>
      <c r="G6" s="139"/>
      <c r="H6" s="140"/>
      <c r="I6" s="140"/>
      <c r="J6" s="140"/>
      <c r="K6" s="140"/>
      <c r="L6" s="140"/>
      <c r="M6" s="140"/>
      <c r="N6" s="140"/>
      <c r="O6" s="140"/>
      <c r="P6" s="141"/>
      <c r="Q6" s="140"/>
      <c r="R6" s="140"/>
      <c r="S6" s="140"/>
      <c r="T6" s="140"/>
      <c r="U6" s="141"/>
      <c r="V6" s="140"/>
      <c r="W6" s="140"/>
      <c r="X6" s="140"/>
      <c r="Y6" s="140"/>
      <c r="Z6" s="140"/>
      <c r="AA6" s="140"/>
      <c r="AB6" s="140"/>
      <c r="AC6" s="140"/>
      <c r="AD6" s="140"/>
      <c r="AE6" s="141"/>
      <c r="AF6" s="140"/>
      <c r="AG6" s="140"/>
      <c r="AH6" s="140"/>
      <c r="AI6" s="140"/>
      <c r="AJ6" s="143"/>
      <c r="AN6" s="283"/>
      <c r="AO6" s="85" t="s">
        <v>127</v>
      </c>
      <c r="AP6" s="85" t="s">
        <v>128</v>
      </c>
      <c r="AQ6" s="85" t="s">
        <v>127</v>
      </c>
      <c r="AR6" s="85" t="s">
        <v>128</v>
      </c>
      <c r="AS6" s="85" t="s">
        <v>127</v>
      </c>
      <c r="AT6" s="85" t="s">
        <v>128</v>
      </c>
      <c r="AU6" s="85" t="s">
        <v>127</v>
      </c>
      <c r="AV6" s="85" t="s">
        <v>128</v>
      </c>
      <c r="AW6" s="85" t="s">
        <v>127</v>
      </c>
      <c r="AX6" s="85" t="s">
        <v>128</v>
      </c>
      <c r="AY6" s="85" t="s">
        <v>127</v>
      </c>
      <c r="AZ6" s="85" t="s">
        <v>128</v>
      </c>
    </row>
    <row r="7" spans="1:52" ht="32.25" customHeight="1" thickTop="1">
      <c r="A7" s="230">
        <v>1</v>
      </c>
      <c r="B7" s="130"/>
      <c r="C7" s="284"/>
      <c r="D7" s="236" t="s">
        <v>121</v>
      </c>
      <c r="E7" s="237"/>
      <c r="F7" s="238"/>
      <c r="G7" s="24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88"/>
      <c r="AN7" s="232" t="e">
        <f>VLOOKUP(B7,利用者名簿!$B:$D,3,FALSE)</f>
        <v>#N/A</v>
      </c>
      <c r="AO7" s="277" t="str">
        <f>IF(COUNTIF(G7:K8, "○") &gt; 0, "〇", "")</f>
        <v/>
      </c>
      <c r="AP7" s="277" t="e">
        <f>IF(AND(AO7="〇", AN7="〇" ), "対象", "")</f>
        <v>#N/A</v>
      </c>
      <c r="AQ7" s="277" t="str">
        <f>IF(COUNTIF(L7:P8, "○") &gt; 0, "〇", "")</f>
        <v/>
      </c>
      <c r="AR7" s="277" t="e">
        <f>IF(AND(AQ7="〇", AN7="〇" ), "対象", "")</f>
        <v>#N/A</v>
      </c>
      <c r="AS7" s="277" t="str">
        <f>IF(COUNTIF(Q7:U8, "○") &gt; 0, "〇", "")</f>
        <v/>
      </c>
      <c r="AT7" s="277" t="e">
        <f>IF(AND(AS7="〇", AN7="〇" ), "対象", "")</f>
        <v>#N/A</v>
      </c>
      <c r="AU7" s="277" t="str">
        <f>IF(COUNTIF(V7:Z8, "○") &gt; 0, "〇", "")</f>
        <v/>
      </c>
      <c r="AV7" s="277" t="e">
        <f>IF(AND(AU7="〇", AN7="〇" ), "対象", "")</f>
        <v>#N/A</v>
      </c>
      <c r="AW7" s="277" t="str">
        <f>IF(COUNTIF(AA7:AE8, "○") &gt; 0, "〇", "")</f>
        <v/>
      </c>
      <c r="AX7" s="277" t="e">
        <f>IF(AND(AW7="〇", AN7="〇" ), "対象", "")</f>
        <v>#N/A</v>
      </c>
      <c r="AY7" s="277" t="str">
        <f>IF(COUNTIF(AF7:AJ8, "○") &gt; 0, "〇", "")</f>
        <v/>
      </c>
      <c r="AZ7" s="277" t="e">
        <f>IF(AND(AY7="〇", AN7="〇" ), "対象", "")</f>
        <v>#N/A</v>
      </c>
    </row>
    <row r="8" spans="1:52" ht="24" customHeight="1">
      <c r="A8" s="231"/>
      <c r="B8" s="131" t="s">
        <v>122</v>
      </c>
      <c r="C8" s="285"/>
      <c r="D8" s="239"/>
      <c r="E8" s="240"/>
      <c r="F8" s="241"/>
      <c r="G8" s="24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89"/>
      <c r="AN8" s="233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</row>
    <row r="9" spans="1:52" ht="32.25" customHeight="1">
      <c r="A9" s="246">
        <v>2</v>
      </c>
      <c r="B9" s="144"/>
      <c r="C9" s="286"/>
      <c r="D9" s="252" t="s">
        <v>121</v>
      </c>
      <c r="E9" s="253"/>
      <c r="F9" s="254"/>
      <c r="G9" s="255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90"/>
      <c r="AN9" s="257" t="e">
        <f>VLOOKUP(B9,利用者名簿!$B:$D,3,FALSE)</f>
        <v>#N/A</v>
      </c>
      <c r="AO9" s="277" t="str">
        <f t="shared" ref="AO9" si="0">IF(COUNTIF(G9:K10, "○") &gt; 0, "〇", "")</f>
        <v/>
      </c>
      <c r="AP9" s="277" t="e">
        <f>IF(AND(AO9="〇", AN9="〇" ), "対象", "")</f>
        <v>#N/A</v>
      </c>
      <c r="AQ9" s="277" t="str">
        <f t="shared" ref="AQ9" si="1">IF(COUNTIF(L9:P10, "○") &gt; 0, "〇", "")</f>
        <v/>
      </c>
      <c r="AR9" s="277" t="e">
        <f>IF(AND(AQ9="〇", AN9="〇" ), "対象", "")</f>
        <v>#N/A</v>
      </c>
      <c r="AS9" s="277" t="str">
        <f t="shared" ref="AS9" si="2">IF(COUNTIF(Q9:U10, "○") &gt; 0, "〇", "")</f>
        <v/>
      </c>
      <c r="AT9" s="277" t="e">
        <f>IF(AND(AS9="〇", AN9="〇" ), "対象", "")</f>
        <v>#N/A</v>
      </c>
      <c r="AU9" s="277" t="str">
        <f t="shared" ref="AU9" si="3">IF(COUNTIF(V9:Z10, "○") &gt; 0, "〇", "")</f>
        <v/>
      </c>
      <c r="AV9" s="277" t="e">
        <f>IF(AND(AU9="〇", AN9="〇" ), "対象", "")</f>
        <v>#N/A</v>
      </c>
      <c r="AW9" s="277" t="str">
        <f t="shared" ref="AW9" si="4">IF(COUNTIF(AA9:AE10, "○") &gt; 0, "〇", "")</f>
        <v/>
      </c>
      <c r="AX9" s="277" t="e">
        <f>IF(AND(AW9="〇", AN9="〇" ), "対象", "")</f>
        <v>#N/A</v>
      </c>
      <c r="AY9" s="277" t="str">
        <f t="shared" ref="AY9" si="5">IF(COUNTIF(AF9:AJ10, "○") &gt; 0, "〇", "")</f>
        <v/>
      </c>
      <c r="AZ9" s="277" t="e">
        <f>IF(AND(AY9="〇", AN9="〇" ), "対象", "")</f>
        <v>#N/A</v>
      </c>
    </row>
    <row r="10" spans="1:52" ht="24" customHeight="1">
      <c r="A10" s="247"/>
      <c r="B10" s="131" t="s">
        <v>122</v>
      </c>
      <c r="C10" s="287"/>
      <c r="D10" s="239"/>
      <c r="E10" s="240"/>
      <c r="F10" s="241"/>
      <c r="G10" s="256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91"/>
      <c r="AN10" s="233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</row>
    <row r="11" spans="1:52" ht="32.25" customHeight="1">
      <c r="A11" s="246">
        <v>3</v>
      </c>
      <c r="B11" s="144"/>
      <c r="C11" s="286"/>
      <c r="D11" s="252" t="s">
        <v>121</v>
      </c>
      <c r="E11" s="253"/>
      <c r="F11" s="254"/>
      <c r="G11" s="255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90"/>
      <c r="AN11" s="257" t="e">
        <f>VLOOKUP(B11,利用者名簿!$B:$D,3,FALSE)</f>
        <v>#N/A</v>
      </c>
      <c r="AO11" s="277" t="str">
        <f t="shared" ref="AO11" si="6">IF(COUNTIF(G11:K12, "○") &gt; 0, "〇", "")</f>
        <v/>
      </c>
      <c r="AP11" s="277" t="e">
        <f>IF(AND(AO11="〇", AN11="〇" ), "対象", "")</f>
        <v>#N/A</v>
      </c>
      <c r="AQ11" s="277" t="str">
        <f t="shared" ref="AQ11" si="7">IF(COUNTIF(L11:P12, "○") &gt; 0, "〇", "")</f>
        <v/>
      </c>
      <c r="AR11" s="277" t="e">
        <f>IF(AND(AQ11="〇", AN11="〇" ), "対象", "")</f>
        <v>#N/A</v>
      </c>
      <c r="AS11" s="277" t="str">
        <f t="shared" ref="AS11" si="8">IF(COUNTIF(Q11:U12, "○") &gt; 0, "〇", "")</f>
        <v/>
      </c>
      <c r="AT11" s="277" t="e">
        <f>IF(AND(AS11="〇", AN11="〇" ), "対象", "")</f>
        <v>#N/A</v>
      </c>
      <c r="AU11" s="277" t="str">
        <f t="shared" ref="AU11" si="9">IF(COUNTIF(V11:Z12, "○") &gt; 0, "〇", "")</f>
        <v/>
      </c>
      <c r="AV11" s="277" t="e">
        <f>IF(AND(AU11="〇", AN11="〇" ), "対象", "")</f>
        <v>#N/A</v>
      </c>
      <c r="AW11" s="277" t="str">
        <f t="shared" ref="AW11" si="10">IF(COUNTIF(AA11:AE12, "○") &gt; 0, "〇", "")</f>
        <v/>
      </c>
      <c r="AX11" s="277" t="e">
        <f>IF(AND(AW11="〇", AN11="〇" ), "対象", "")</f>
        <v>#N/A</v>
      </c>
      <c r="AY11" s="277" t="str">
        <f t="shared" ref="AY11" si="11">IF(COUNTIF(AF11:AJ12, "○") &gt; 0, "〇", "")</f>
        <v/>
      </c>
      <c r="AZ11" s="277" t="e">
        <f>IF(AND(AY11="〇", AN11="〇" ), "対象", "")</f>
        <v>#N/A</v>
      </c>
    </row>
    <row r="12" spans="1:52" ht="24" customHeight="1">
      <c r="A12" s="247"/>
      <c r="B12" s="131" t="s">
        <v>122</v>
      </c>
      <c r="C12" s="287"/>
      <c r="D12" s="239"/>
      <c r="E12" s="240"/>
      <c r="F12" s="241"/>
      <c r="G12" s="256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91"/>
      <c r="AN12" s="233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</row>
    <row r="13" spans="1:52" ht="32.25" customHeight="1">
      <c r="A13" s="246">
        <v>4</v>
      </c>
      <c r="B13" s="144"/>
      <c r="C13" s="286"/>
      <c r="D13" s="252" t="s">
        <v>121</v>
      </c>
      <c r="E13" s="253"/>
      <c r="F13" s="254"/>
      <c r="G13" s="255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90"/>
      <c r="AN13" s="257" t="e">
        <f>VLOOKUP(B13,利用者名簿!$B:$D,3,FALSE)</f>
        <v>#N/A</v>
      </c>
      <c r="AO13" s="277" t="str">
        <f t="shared" ref="AO13" si="12">IF(COUNTIF(G13:K14, "○") &gt; 0, "〇", "")</f>
        <v/>
      </c>
      <c r="AP13" s="277" t="e">
        <f>IF(AND(AO13="〇", AN13="〇" ), "対象", "")</f>
        <v>#N/A</v>
      </c>
      <c r="AQ13" s="277" t="str">
        <f t="shared" ref="AQ13" si="13">IF(COUNTIF(L13:P14, "○") &gt; 0, "〇", "")</f>
        <v/>
      </c>
      <c r="AR13" s="277" t="e">
        <f>IF(AND(AQ13="〇", AN13="〇" ), "対象", "")</f>
        <v>#N/A</v>
      </c>
      <c r="AS13" s="277" t="str">
        <f t="shared" ref="AS13" si="14">IF(COUNTIF(Q13:U14, "○") &gt; 0, "〇", "")</f>
        <v/>
      </c>
      <c r="AT13" s="277" t="e">
        <f>IF(AND(AS13="〇", AN13="〇" ), "対象", "")</f>
        <v>#N/A</v>
      </c>
      <c r="AU13" s="277" t="str">
        <f t="shared" ref="AU13" si="15">IF(COUNTIF(V13:Z14, "○") &gt; 0, "〇", "")</f>
        <v/>
      </c>
      <c r="AV13" s="277" t="e">
        <f>IF(AND(AU13="〇", AN13="〇" ), "対象", "")</f>
        <v>#N/A</v>
      </c>
      <c r="AW13" s="277" t="str">
        <f t="shared" ref="AW13" si="16">IF(COUNTIF(AA13:AE14, "○") &gt; 0, "〇", "")</f>
        <v/>
      </c>
      <c r="AX13" s="277" t="e">
        <f>IF(AND(AW13="〇", AN13="〇" ), "対象", "")</f>
        <v>#N/A</v>
      </c>
      <c r="AY13" s="277" t="str">
        <f t="shared" ref="AY13" si="17">IF(COUNTIF(AF13:AJ14, "○") &gt; 0, "〇", "")</f>
        <v/>
      </c>
      <c r="AZ13" s="277" t="e">
        <f>IF(AND(AY13="〇", AN13="〇" ), "対象", "")</f>
        <v>#N/A</v>
      </c>
    </row>
    <row r="14" spans="1:52" ht="24" customHeight="1">
      <c r="A14" s="247"/>
      <c r="B14" s="131" t="s">
        <v>122</v>
      </c>
      <c r="C14" s="287"/>
      <c r="D14" s="239"/>
      <c r="E14" s="240"/>
      <c r="F14" s="241"/>
      <c r="G14" s="256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91"/>
      <c r="AN14" s="233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</row>
    <row r="15" spans="1:52" ht="32.25" customHeight="1">
      <c r="A15" s="246">
        <v>5</v>
      </c>
      <c r="B15" s="144"/>
      <c r="C15" s="286"/>
      <c r="D15" s="252" t="s">
        <v>121</v>
      </c>
      <c r="E15" s="253"/>
      <c r="F15" s="254"/>
      <c r="G15" s="255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90"/>
      <c r="AN15" s="257" t="e">
        <f>VLOOKUP(B15,利用者名簿!$B:$D,3,FALSE)</f>
        <v>#N/A</v>
      </c>
      <c r="AO15" s="277" t="str">
        <f t="shared" ref="AO15" si="18">IF(COUNTIF(G15:K16, "○") &gt; 0, "〇", "")</f>
        <v/>
      </c>
      <c r="AP15" s="277" t="e">
        <f>IF(AND(AO15="〇", AN15="〇" ), "対象", "")</f>
        <v>#N/A</v>
      </c>
      <c r="AQ15" s="277" t="str">
        <f t="shared" ref="AQ15" si="19">IF(COUNTIF(L15:P16, "○") &gt; 0, "〇", "")</f>
        <v/>
      </c>
      <c r="AR15" s="277" t="e">
        <f>IF(AND(AQ15="〇", AN15="〇" ), "対象", "")</f>
        <v>#N/A</v>
      </c>
      <c r="AS15" s="277" t="str">
        <f t="shared" ref="AS15" si="20">IF(COUNTIF(Q15:U16, "○") &gt; 0, "〇", "")</f>
        <v/>
      </c>
      <c r="AT15" s="277" t="e">
        <f>IF(AND(AS15="〇", AN15="〇" ), "対象", "")</f>
        <v>#N/A</v>
      </c>
      <c r="AU15" s="277" t="str">
        <f t="shared" ref="AU15" si="21">IF(COUNTIF(V15:Z16, "○") &gt; 0, "〇", "")</f>
        <v/>
      </c>
      <c r="AV15" s="277" t="e">
        <f>IF(AND(AU15="〇", AN15="〇" ), "対象", "")</f>
        <v>#N/A</v>
      </c>
      <c r="AW15" s="277" t="str">
        <f t="shared" ref="AW15" si="22">IF(COUNTIF(AA15:AE16, "○") &gt; 0, "〇", "")</f>
        <v/>
      </c>
      <c r="AX15" s="277" t="e">
        <f>IF(AND(AW15="〇", AN15="〇" ), "対象", "")</f>
        <v>#N/A</v>
      </c>
      <c r="AY15" s="277" t="str">
        <f t="shared" ref="AY15" si="23">IF(COUNTIF(AF15:AJ16, "○") &gt; 0, "〇", "")</f>
        <v/>
      </c>
      <c r="AZ15" s="277" t="e">
        <f>IF(AND(AY15="〇", AN15="〇" ), "対象", "")</f>
        <v>#N/A</v>
      </c>
    </row>
    <row r="16" spans="1:52" ht="24" customHeight="1">
      <c r="A16" s="247"/>
      <c r="B16" s="131" t="s">
        <v>122</v>
      </c>
      <c r="C16" s="287"/>
      <c r="D16" s="239"/>
      <c r="E16" s="240"/>
      <c r="F16" s="241"/>
      <c r="G16" s="256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91"/>
      <c r="AN16" s="233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</row>
    <row r="17" spans="1:52" ht="32.25" customHeight="1">
      <c r="A17" s="246">
        <v>6</v>
      </c>
      <c r="B17" s="144"/>
      <c r="C17" s="286"/>
      <c r="D17" s="252" t="s">
        <v>121</v>
      </c>
      <c r="E17" s="253"/>
      <c r="F17" s="254"/>
      <c r="G17" s="255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90"/>
      <c r="AN17" s="257" t="e">
        <f>VLOOKUP(B17,利用者名簿!$B:$D,3,FALSE)</f>
        <v>#N/A</v>
      </c>
      <c r="AO17" s="277" t="str">
        <f t="shared" ref="AO17" si="24">IF(COUNTIF(G17:K18, "○") &gt; 0, "〇", "")</f>
        <v/>
      </c>
      <c r="AP17" s="277" t="e">
        <f>IF(AND(AO17="〇", AN17="〇" ), "対象", "")</f>
        <v>#N/A</v>
      </c>
      <c r="AQ17" s="277" t="str">
        <f t="shared" ref="AQ17" si="25">IF(COUNTIF(L17:P18, "○") &gt; 0, "〇", "")</f>
        <v/>
      </c>
      <c r="AR17" s="277" t="e">
        <f>IF(AND(AQ17="〇", AN17="〇" ), "対象", "")</f>
        <v>#N/A</v>
      </c>
      <c r="AS17" s="277" t="str">
        <f t="shared" ref="AS17" si="26">IF(COUNTIF(Q17:U18, "○") &gt; 0, "〇", "")</f>
        <v/>
      </c>
      <c r="AT17" s="277" t="e">
        <f>IF(AND(AS17="〇", AN17="〇" ), "対象", "")</f>
        <v>#N/A</v>
      </c>
      <c r="AU17" s="277" t="str">
        <f t="shared" ref="AU17" si="27">IF(COUNTIF(V17:Z18, "○") &gt; 0, "〇", "")</f>
        <v/>
      </c>
      <c r="AV17" s="277" t="e">
        <f>IF(AND(AU17="〇", AN17="〇" ), "対象", "")</f>
        <v>#N/A</v>
      </c>
      <c r="AW17" s="277" t="str">
        <f t="shared" ref="AW17" si="28">IF(COUNTIF(AA17:AE18, "○") &gt; 0, "〇", "")</f>
        <v/>
      </c>
      <c r="AX17" s="277" t="e">
        <f>IF(AND(AW17="〇", AN17="〇" ), "対象", "")</f>
        <v>#N/A</v>
      </c>
      <c r="AY17" s="277" t="str">
        <f t="shared" ref="AY17" si="29">IF(COUNTIF(AF17:AJ18, "○") &gt; 0, "〇", "")</f>
        <v/>
      </c>
      <c r="AZ17" s="277" t="e">
        <f>IF(AND(AY17="〇", AN17="〇" ), "対象", "")</f>
        <v>#N/A</v>
      </c>
    </row>
    <row r="18" spans="1:52" ht="24" customHeight="1">
      <c r="A18" s="247"/>
      <c r="B18" s="131" t="s">
        <v>122</v>
      </c>
      <c r="C18" s="287"/>
      <c r="D18" s="239"/>
      <c r="E18" s="240"/>
      <c r="F18" s="241"/>
      <c r="G18" s="258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92"/>
      <c r="AN18" s="233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</row>
    <row r="19" spans="1:52" ht="32.25" customHeight="1">
      <c r="A19" s="246">
        <v>7</v>
      </c>
      <c r="B19" s="144"/>
      <c r="C19" s="286"/>
      <c r="D19" s="252" t="s">
        <v>121</v>
      </c>
      <c r="E19" s="253"/>
      <c r="F19" s="254"/>
      <c r="G19" s="255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90"/>
      <c r="AN19" s="257" t="e">
        <f>VLOOKUP(B19,利用者名簿!$B:$D,3,FALSE)</f>
        <v>#N/A</v>
      </c>
      <c r="AO19" s="277" t="str">
        <f t="shared" ref="AO19" si="30">IF(COUNTIF(G19:K20, "○") &gt; 0, "〇", "")</f>
        <v/>
      </c>
      <c r="AP19" s="277" t="e">
        <f>IF(AND(AO19="〇", AN19="〇" ), "対象", "")</f>
        <v>#N/A</v>
      </c>
      <c r="AQ19" s="277" t="str">
        <f t="shared" ref="AQ19" si="31">IF(COUNTIF(L19:P20, "○") &gt; 0, "〇", "")</f>
        <v/>
      </c>
      <c r="AR19" s="277" t="e">
        <f>IF(AND(AQ19="〇", AN19="〇" ), "対象", "")</f>
        <v>#N/A</v>
      </c>
      <c r="AS19" s="277" t="str">
        <f t="shared" ref="AS19" si="32">IF(COUNTIF(Q19:U20, "○") &gt; 0, "〇", "")</f>
        <v/>
      </c>
      <c r="AT19" s="277" t="e">
        <f>IF(AND(AS19="〇", AN19="〇" ), "対象", "")</f>
        <v>#N/A</v>
      </c>
      <c r="AU19" s="277" t="str">
        <f t="shared" ref="AU19" si="33">IF(COUNTIF(V19:Z20, "○") &gt; 0, "〇", "")</f>
        <v/>
      </c>
      <c r="AV19" s="277" t="e">
        <f>IF(AND(AU19="〇", AN19="〇" ), "対象", "")</f>
        <v>#N/A</v>
      </c>
      <c r="AW19" s="277" t="str">
        <f t="shared" ref="AW19" si="34">IF(COUNTIF(AA19:AE20, "○") &gt; 0, "〇", "")</f>
        <v/>
      </c>
      <c r="AX19" s="277" t="e">
        <f>IF(AND(AW19="〇", AN19="〇" ), "対象", "")</f>
        <v>#N/A</v>
      </c>
      <c r="AY19" s="277" t="str">
        <f t="shared" ref="AY19" si="35">IF(COUNTIF(AF19:AJ20, "○") &gt; 0, "〇", "")</f>
        <v/>
      </c>
      <c r="AZ19" s="277" t="e">
        <f>IF(AND(AY19="〇", AN19="〇" ), "対象", "")</f>
        <v>#N/A</v>
      </c>
    </row>
    <row r="20" spans="1:52" ht="24" customHeight="1">
      <c r="A20" s="247"/>
      <c r="B20" s="131" t="s">
        <v>122</v>
      </c>
      <c r="C20" s="287"/>
      <c r="D20" s="239"/>
      <c r="E20" s="240"/>
      <c r="F20" s="241"/>
      <c r="G20" s="258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92"/>
      <c r="AN20" s="233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</row>
    <row r="21" spans="1:52" ht="32.25" customHeight="1">
      <c r="A21" s="246">
        <v>8</v>
      </c>
      <c r="B21" s="144"/>
      <c r="C21" s="286"/>
      <c r="D21" s="252" t="s">
        <v>121</v>
      </c>
      <c r="E21" s="253"/>
      <c r="F21" s="254"/>
      <c r="G21" s="259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3"/>
      <c r="AJ21" s="265"/>
      <c r="AN21" s="257" t="e">
        <f>VLOOKUP(B21,利用者名簿!$B:$D,3,FALSE)</f>
        <v>#N/A</v>
      </c>
      <c r="AO21" s="277" t="str">
        <f t="shared" ref="AO21" si="36">IF(COUNTIF(G21:K22, "○") &gt; 0, "〇", "")</f>
        <v/>
      </c>
      <c r="AP21" s="277" t="e">
        <f>IF(AND(AO21="〇", AN21="〇" ), "対象", "")</f>
        <v>#N/A</v>
      </c>
      <c r="AQ21" s="277" t="str">
        <f t="shared" ref="AQ21" si="37">IF(COUNTIF(L21:P22, "○") &gt; 0, "〇", "")</f>
        <v/>
      </c>
      <c r="AR21" s="277" t="e">
        <f>IF(AND(AQ21="〇", AN21="〇" ), "対象", "")</f>
        <v>#N/A</v>
      </c>
      <c r="AS21" s="277" t="str">
        <f t="shared" ref="AS21" si="38">IF(COUNTIF(Q21:U22, "○") &gt; 0, "〇", "")</f>
        <v/>
      </c>
      <c r="AT21" s="277" t="e">
        <f>IF(AND(AS21="〇", AN21="〇" ), "対象", "")</f>
        <v>#N/A</v>
      </c>
      <c r="AU21" s="277" t="str">
        <f t="shared" ref="AU21" si="39">IF(COUNTIF(V21:Z22, "○") &gt; 0, "〇", "")</f>
        <v/>
      </c>
      <c r="AV21" s="277" t="e">
        <f>IF(AND(AU21="〇", AN21="〇" ), "対象", "")</f>
        <v>#N/A</v>
      </c>
      <c r="AW21" s="277" t="str">
        <f t="shared" ref="AW21" si="40">IF(COUNTIF(AA21:AE22, "○") &gt; 0, "〇", "")</f>
        <v/>
      </c>
      <c r="AX21" s="277" t="e">
        <f>IF(AND(AW21="〇", AN21="〇" ), "対象", "")</f>
        <v>#N/A</v>
      </c>
      <c r="AY21" s="277" t="str">
        <f t="shared" ref="AY21" si="41">IF(COUNTIF(AF21:AJ22, "○") &gt; 0, "〇", "")</f>
        <v/>
      </c>
      <c r="AZ21" s="277" t="e">
        <f>IF(AND(AY21="〇", AN21="〇" ), "対象", "")</f>
        <v>#N/A</v>
      </c>
    </row>
    <row r="22" spans="1:52" ht="24" customHeight="1">
      <c r="A22" s="247"/>
      <c r="B22" s="131" t="s">
        <v>122</v>
      </c>
      <c r="C22" s="287"/>
      <c r="D22" s="239"/>
      <c r="E22" s="240"/>
      <c r="F22" s="241"/>
      <c r="G22" s="260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4"/>
      <c r="AJ22" s="266"/>
      <c r="AN22" s="233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</row>
    <row r="23" spans="1:52" ht="32.25" customHeight="1">
      <c r="A23" s="246">
        <v>9</v>
      </c>
      <c r="B23" s="144"/>
      <c r="C23" s="286"/>
      <c r="D23" s="252" t="s">
        <v>121</v>
      </c>
      <c r="E23" s="253"/>
      <c r="F23" s="254"/>
      <c r="G23" s="259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3"/>
      <c r="AJ23" s="265"/>
      <c r="AN23" s="257" t="e">
        <f>VLOOKUP(B23,利用者名簿!$B:$D,3,FALSE)</f>
        <v>#N/A</v>
      </c>
      <c r="AO23" s="277" t="str">
        <f t="shared" ref="AO23" si="42">IF(COUNTIF(G23:K24, "○") &gt; 0, "〇", "")</f>
        <v/>
      </c>
      <c r="AP23" s="277" t="e">
        <f>IF(AND(AO23="〇", AN23="〇" ), "対象", "")</f>
        <v>#N/A</v>
      </c>
      <c r="AQ23" s="277" t="str">
        <f t="shared" ref="AQ23" si="43">IF(COUNTIF(L23:P24, "○") &gt; 0, "〇", "")</f>
        <v/>
      </c>
      <c r="AR23" s="277" t="e">
        <f>IF(AND(AQ23="〇", AN23="〇" ), "対象", "")</f>
        <v>#N/A</v>
      </c>
      <c r="AS23" s="277" t="str">
        <f t="shared" ref="AS23" si="44">IF(COUNTIF(Q23:U24, "○") &gt; 0, "〇", "")</f>
        <v/>
      </c>
      <c r="AT23" s="277" t="e">
        <f>IF(AND(AS23="〇", AN23="〇" ), "対象", "")</f>
        <v>#N/A</v>
      </c>
      <c r="AU23" s="277" t="str">
        <f t="shared" ref="AU23" si="45">IF(COUNTIF(V23:Z24, "○") &gt; 0, "〇", "")</f>
        <v/>
      </c>
      <c r="AV23" s="277" t="e">
        <f>IF(AND(AU23="〇", AN23="〇" ), "対象", "")</f>
        <v>#N/A</v>
      </c>
      <c r="AW23" s="277" t="str">
        <f t="shared" ref="AW23" si="46">IF(COUNTIF(AA23:AE24, "○") &gt; 0, "〇", "")</f>
        <v/>
      </c>
      <c r="AX23" s="277" t="e">
        <f>IF(AND(AW23="〇", AN23="〇" ), "対象", "")</f>
        <v>#N/A</v>
      </c>
      <c r="AY23" s="277" t="str">
        <f t="shared" ref="AY23" si="47">IF(COUNTIF(AF23:AJ24, "○") &gt; 0, "〇", "")</f>
        <v/>
      </c>
      <c r="AZ23" s="277" t="e">
        <f>IF(AND(AY23="〇", AN23="〇" ), "対象", "")</f>
        <v>#N/A</v>
      </c>
    </row>
    <row r="24" spans="1:52" ht="24" customHeight="1">
      <c r="A24" s="247"/>
      <c r="B24" s="131" t="s">
        <v>122</v>
      </c>
      <c r="C24" s="287"/>
      <c r="D24" s="239"/>
      <c r="E24" s="240"/>
      <c r="F24" s="241"/>
      <c r="G24" s="260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4"/>
      <c r="AJ24" s="266"/>
      <c r="AN24" s="233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</row>
    <row r="25" spans="1:52" ht="32.25" customHeight="1">
      <c r="A25" s="246">
        <v>10</v>
      </c>
      <c r="B25" s="144"/>
      <c r="C25" s="286"/>
      <c r="D25" s="252" t="s">
        <v>121</v>
      </c>
      <c r="E25" s="253"/>
      <c r="F25" s="254"/>
      <c r="G25" s="259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3"/>
      <c r="AJ25" s="265"/>
      <c r="AN25" s="257" t="e">
        <f>VLOOKUP(B25,利用者名簿!$B:$D,3,FALSE)</f>
        <v>#N/A</v>
      </c>
      <c r="AO25" s="277" t="str">
        <f t="shared" ref="AO25" si="48">IF(COUNTIF(G25:K26, "○") &gt; 0, "〇", "")</f>
        <v/>
      </c>
      <c r="AP25" s="277" t="e">
        <f>IF(AND(AO25="〇", AN25="〇" ), "対象", "")</f>
        <v>#N/A</v>
      </c>
      <c r="AQ25" s="277" t="str">
        <f t="shared" ref="AQ25" si="49">IF(COUNTIF(L25:P26, "○") &gt; 0, "〇", "")</f>
        <v/>
      </c>
      <c r="AR25" s="277" t="e">
        <f>IF(AND(AQ25="〇", AN25="〇" ), "対象", "")</f>
        <v>#N/A</v>
      </c>
      <c r="AS25" s="277" t="str">
        <f t="shared" ref="AS25" si="50">IF(COUNTIF(Q25:U26, "○") &gt; 0, "〇", "")</f>
        <v/>
      </c>
      <c r="AT25" s="277" t="e">
        <f>IF(AND(AS25="〇", AN25="〇" ), "対象", "")</f>
        <v>#N/A</v>
      </c>
      <c r="AU25" s="277" t="str">
        <f t="shared" ref="AU25" si="51">IF(COUNTIF(V25:Z26, "○") &gt; 0, "〇", "")</f>
        <v/>
      </c>
      <c r="AV25" s="277" t="e">
        <f>IF(AND(AU25="〇", AN25="〇" ), "対象", "")</f>
        <v>#N/A</v>
      </c>
      <c r="AW25" s="277" t="str">
        <f t="shared" ref="AW25" si="52">IF(COUNTIF(AA25:AE26, "○") &gt; 0, "〇", "")</f>
        <v/>
      </c>
      <c r="AX25" s="277" t="e">
        <f>IF(AND(AW25="〇", AN25="〇" ), "対象", "")</f>
        <v>#N/A</v>
      </c>
      <c r="AY25" s="277" t="str">
        <f t="shared" ref="AY25" si="53">IF(COUNTIF(AF25:AJ26, "○") &gt; 0, "〇", "")</f>
        <v/>
      </c>
      <c r="AZ25" s="277" t="e">
        <f>IF(AND(AY25="〇", AN25="〇" ), "対象", "")</f>
        <v>#N/A</v>
      </c>
    </row>
    <row r="26" spans="1:52" ht="24" customHeight="1" thickBot="1">
      <c r="A26" s="267"/>
      <c r="B26" s="134" t="s">
        <v>122</v>
      </c>
      <c r="C26" s="293"/>
      <c r="D26" s="269"/>
      <c r="E26" s="270"/>
      <c r="F26" s="271"/>
      <c r="G26" s="272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5"/>
      <c r="AJ26" s="276"/>
      <c r="AN26" s="232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</row>
    <row r="27" spans="1:52" ht="40.5" customHeight="1" thickTop="1">
      <c r="A27" s="278" t="s">
        <v>123</v>
      </c>
      <c r="B27" s="279"/>
      <c r="C27" s="279"/>
      <c r="D27" s="279"/>
      <c r="E27" s="279"/>
      <c r="F27" s="280"/>
      <c r="G27" s="89"/>
      <c r="H27" s="82"/>
      <c r="I27" s="83"/>
      <c r="J27" s="82"/>
      <c r="K27" s="83"/>
      <c r="L27" s="82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2"/>
      <c r="AK27" s="88"/>
      <c r="AL27" s="86"/>
      <c r="AM27" s="86"/>
      <c r="AN27" s="85"/>
      <c r="AO27" s="85"/>
      <c r="AP27" s="85">
        <f>COUNTIF(AP7:AP26, "対象")</f>
        <v>0</v>
      </c>
      <c r="AQ27" s="85"/>
      <c r="AR27" s="85">
        <f t="shared" ref="AR27" si="54">COUNTIF(AR7:AR26, "対象")</f>
        <v>0</v>
      </c>
      <c r="AS27" s="85"/>
      <c r="AT27" s="85">
        <f t="shared" ref="AT27" si="55">COUNTIF(AT7:AT26, "対象")</f>
        <v>0</v>
      </c>
      <c r="AU27" s="85"/>
      <c r="AV27" s="85">
        <f t="shared" ref="AV27" si="56">COUNTIF(AV7:AV26, "対象")</f>
        <v>0</v>
      </c>
      <c r="AW27" s="85"/>
      <c r="AX27" s="85">
        <f>COUNTIF(AX7:AX26, "対象")</f>
        <v>0</v>
      </c>
      <c r="AY27" s="85"/>
      <c r="AZ27" s="85">
        <f t="shared" ref="AZ27" si="57">COUNTIF(AZ7:AZ26, "対象")</f>
        <v>0</v>
      </c>
    </row>
    <row r="28" spans="1:52" ht="18" customHeight="1">
      <c r="A28" s="273" t="s">
        <v>124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84"/>
      <c r="AM28" s="84"/>
    </row>
    <row r="29" spans="1:52" ht="18" customHeight="1">
      <c r="A29" s="273" t="s">
        <v>125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84"/>
      <c r="AM29" s="84"/>
    </row>
    <row r="30" spans="1:52" ht="18" customHeight="1">
      <c r="A30" s="273" t="s">
        <v>126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84"/>
      <c r="AM30" s="84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93" t="s">
        <v>135</v>
      </c>
      <c r="M1" s="94"/>
    </row>
    <row r="2" spans="1:13" ht="30.75" customHeight="1" thickTop="1">
      <c r="A2" s="158" t="s">
        <v>136</v>
      </c>
      <c r="B2" s="294"/>
      <c r="C2" s="295"/>
      <c r="D2" s="159" t="s">
        <v>137</v>
      </c>
      <c r="E2" s="296"/>
      <c r="F2" s="297"/>
      <c r="G2" s="160" t="s">
        <v>4</v>
      </c>
      <c r="H2" s="298">
        <f>SUMIFS( 支出明細!E:E, 支出明細!D:D, E2, 支出明細!B:B, "&gt;=" &amp; DATEVALUE(K2 &amp; "/01"), 支出明細!B:B, "&lt;=" &amp; EOMONTH(DATEVALUE(M2 &amp; "/01"), 0) )</f>
        <v>0</v>
      </c>
      <c r="I2" s="299"/>
      <c r="J2" s="161" t="s">
        <v>138</v>
      </c>
      <c r="K2" s="162"/>
      <c r="L2" s="163" t="s">
        <v>139</v>
      </c>
      <c r="M2" s="164"/>
    </row>
    <row r="3" spans="1:13" ht="13.5" customHeight="1">
      <c r="A3" s="165" t="s">
        <v>140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ht="13.5" customHeight="1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3.5" customHeight="1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0"/>
    </row>
    <row r="6" spans="1:13" ht="13.5" customHeight="1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70"/>
    </row>
    <row r="7" spans="1:13" ht="13.5" customHeight="1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70"/>
    </row>
    <row r="8" spans="1:13" ht="13.5" customHeight="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70"/>
    </row>
    <row r="9" spans="1:13" ht="18.75" customHeight="1">
      <c r="A9" s="168"/>
      <c r="B9" s="300" t="s">
        <v>141</v>
      </c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170"/>
    </row>
    <row r="10" spans="1:13" ht="18.75" customHeight="1">
      <c r="A10" s="168"/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170"/>
    </row>
    <row r="11" spans="1:13" ht="18.75" customHeight="1">
      <c r="A11" s="168"/>
      <c r="B11" s="169"/>
      <c r="C11" s="169"/>
      <c r="D11" s="171"/>
      <c r="E11" s="301" t="s">
        <v>142</v>
      </c>
      <c r="F11" s="301"/>
      <c r="G11" s="302" t="s">
        <v>4</v>
      </c>
      <c r="H11" s="303"/>
      <c r="I11" s="172" t="s">
        <v>143</v>
      </c>
      <c r="J11" s="169"/>
      <c r="K11" s="169"/>
      <c r="L11" s="169"/>
      <c r="M11" s="170"/>
    </row>
    <row r="12" spans="1:13" ht="18.75" customHeight="1">
      <c r="A12" s="168"/>
      <c r="B12" s="169"/>
      <c r="C12" s="169"/>
      <c r="D12" s="169"/>
      <c r="E12" s="304"/>
      <c r="F12" s="304"/>
      <c r="G12" s="305"/>
      <c r="H12" s="306"/>
      <c r="I12" s="304"/>
      <c r="J12" s="169"/>
      <c r="K12" s="169"/>
      <c r="L12" s="169"/>
      <c r="M12" s="170"/>
    </row>
    <row r="13" spans="1:13" ht="18.75" customHeight="1">
      <c r="A13" s="168"/>
      <c r="B13" s="169"/>
      <c r="C13" s="169"/>
      <c r="D13" s="169"/>
      <c r="E13" s="304"/>
      <c r="F13" s="304"/>
      <c r="G13" s="307"/>
      <c r="H13" s="308"/>
      <c r="I13" s="304"/>
      <c r="J13" s="169"/>
      <c r="K13" s="169"/>
      <c r="L13" s="169"/>
      <c r="M13" s="170"/>
    </row>
    <row r="14" spans="1:13" ht="18.75" customHeight="1">
      <c r="A14" s="168"/>
      <c r="B14" s="169"/>
      <c r="C14" s="169"/>
      <c r="D14" s="169"/>
      <c r="E14" s="304"/>
      <c r="F14" s="304"/>
      <c r="G14" s="305"/>
      <c r="H14" s="306"/>
      <c r="I14" s="304"/>
      <c r="J14" s="169"/>
      <c r="K14" s="169"/>
      <c r="L14" s="169"/>
      <c r="M14" s="170"/>
    </row>
    <row r="15" spans="1:13" ht="18.75" customHeight="1">
      <c r="A15" s="168"/>
      <c r="B15" s="169"/>
      <c r="C15" s="169"/>
      <c r="D15" s="169"/>
      <c r="E15" s="304"/>
      <c r="F15" s="304"/>
      <c r="G15" s="307"/>
      <c r="H15" s="308"/>
      <c r="I15" s="304"/>
      <c r="J15" s="169"/>
      <c r="K15" s="169"/>
      <c r="L15" s="169"/>
      <c r="M15" s="170"/>
    </row>
    <row r="16" spans="1:13" ht="18.75" customHeight="1">
      <c r="A16" s="168"/>
      <c r="B16" s="169"/>
      <c r="C16" s="169"/>
      <c r="D16" s="169"/>
      <c r="E16" s="304"/>
      <c r="F16" s="304"/>
      <c r="G16" s="305"/>
      <c r="H16" s="306"/>
      <c r="I16" s="304"/>
      <c r="J16" s="169"/>
      <c r="K16" s="169"/>
      <c r="L16" s="169"/>
      <c r="M16" s="170"/>
    </row>
    <row r="17" spans="1:13" ht="18.75" customHeight="1">
      <c r="A17" s="168"/>
      <c r="B17" s="169"/>
      <c r="C17" s="169"/>
      <c r="D17" s="169"/>
      <c r="E17" s="304"/>
      <c r="F17" s="304"/>
      <c r="G17" s="307"/>
      <c r="H17" s="308"/>
      <c r="I17" s="304"/>
      <c r="J17" s="169"/>
      <c r="K17" s="169"/>
      <c r="L17" s="169"/>
      <c r="M17" s="170"/>
    </row>
    <row r="18" spans="1:13" ht="18.75" customHeight="1">
      <c r="A18" s="168"/>
      <c r="B18" s="169"/>
      <c r="C18" s="169"/>
      <c r="D18" s="169"/>
      <c r="E18" s="309"/>
      <c r="F18" s="309"/>
      <c r="G18" s="310"/>
      <c r="H18" s="311"/>
      <c r="I18" s="309"/>
      <c r="J18" s="169"/>
      <c r="K18" s="169"/>
      <c r="L18" s="169"/>
      <c r="M18" s="170"/>
    </row>
    <row r="19" spans="1:13" ht="18.75" customHeight="1">
      <c r="A19" s="168"/>
      <c r="B19" s="169"/>
      <c r="C19" s="169"/>
      <c r="D19" s="169"/>
      <c r="E19" s="309"/>
      <c r="F19" s="309"/>
      <c r="G19" s="312"/>
      <c r="H19" s="313"/>
      <c r="I19" s="309"/>
      <c r="J19" s="169"/>
      <c r="K19" s="169"/>
      <c r="L19" s="169"/>
      <c r="M19" s="170"/>
    </row>
    <row r="20" spans="1:13" ht="18.75" customHeight="1">
      <c r="A20" s="168"/>
      <c r="B20" s="169"/>
      <c r="C20" s="169"/>
      <c r="D20" s="169"/>
      <c r="E20" s="309"/>
      <c r="F20" s="309"/>
      <c r="G20" s="310"/>
      <c r="H20" s="311"/>
      <c r="I20" s="309"/>
      <c r="J20" s="169"/>
      <c r="K20" s="169"/>
      <c r="L20" s="169"/>
      <c r="M20" s="170"/>
    </row>
    <row r="21" spans="1:13" ht="18.75" customHeight="1">
      <c r="A21" s="168"/>
      <c r="B21" s="169"/>
      <c r="C21" s="169"/>
      <c r="D21" s="169"/>
      <c r="E21" s="309"/>
      <c r="F21" s="309"/>
      <c r="G21" s="312"/>
      <c r="H21" s="313"/>
      <c r="I21" s="309"/>
      <c r="J21" s="169"/>
      <c r="K21" s="169"/>
      <c r="L21" s="169"/>
      <c r="M21" s="170"/>
    </row>
    <row r="22" spans="1:13" ht="18.75" customHeight="1">
      <c r="A22" s="168"/>
      <c r="B22" s="169"/>
      <c r="C22" s="169"/>
      <c r="D22" s="169"/>
      <c r="E22" s="309"/>
      <c r="F22" s="309"/>
      <c r="G22" s="310"/>
      <c r="H22" s="311"/>
      <c r="I22" s="309"/>
      <c r="J22" s="169"/>
      <c r="K22" s="169"/>
      <c r="L22" s="169"/>
      <c r="M22" s="170"/>
    </row>
    <row r="23" spans="1:13" ht="18.75" customHeight="1">
      <c r="A23" s="168"/>
      <c r="B23" s="169"/>
      <c r="C23" s="169"/>
      <c r="D23" s="169"/>
      <c r="E23" s="309"/>
      <c r="F23" s="309"/>
      <c r="G23" s="312"/>
      <c r="H23" s="313"/>
      <c r="I23" s="309"/>
      <c r="J23" s="169"/>
      <c r="K23" s="169"/>
      <c r="L23" s="169"/>
      <c r="M23" s="170"/>
    </row>
    <row r="24" spans="1:13" ht="14.25" customHeight="1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70"/>
    </row>
    <row r="25" spans="1:13" ht="18.75" customHeight="1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70"/>
    </row>
    <row r="26" spans="1:13" ht="18.75" customHeight="1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70"/>
    </row>
    <row r="27" spans="1:13" ht="18.75" customHeight="1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70"/>
    </row>
    <row r="28" spans="1:13" ht="18.75" customHeight="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70"/>
    </row>
    <row r="29" spans="1:13" ht="18.75" customHeight="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70"/>
    </row>
    <row r="30" spans="1:13" ht="18.75" customHeight="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70"/>
    </row>
    <row r="31" spans="1:13" ht="18.75" customHeight="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70"/>
    </row>
    <row r="32" spans="1:13" ht="18.75" customHeight="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70"/>
    </row>
    <row r="33" spans="1:13" ht="18.75" customHeight="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70"/>
    </row>
    <row r="34" spans="1:13" ht="18.75" customHeight="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70"/>
    </row>
    <row r="35" spans="1:13" ht="18.75" customHeight="1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70"/>
    </row>
    <row r="36" spans="1:13" ht="18.75" customHeight="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70"/>
    </row>
    <row r="37" spans="1:13" ht="18.75" customHeight="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70"/>
    </row>
    <row r="38" spans="1:13" ht="18.75" customHeight="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70"/>
    </row>
    <row r="39" spans="1:13" ht="18.75" customHeight="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70"/>
    </row>
    <row r="40" spans="1:13" ht="18.75" customHeight="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70"/>
    </row>
    <row r="41" spans="1:13" ht="18.75" customHeight="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70"/>
    </row>
    <row r="42" spans="1:13" ht="18.75" customHeight="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70"/>
    </row>
    <row r="43" spans="1:13" ht="18.75" customHeight="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0"/>
    </row>
    <row r="44" spans="1:13" ht="18.75" customHeight="1">
      <c r="A44" s="168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70"/>
    </row>
    <row r="45" spans="1:13" ht="18.75" customHeight="1">
      <c r="A45" s="168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70"/>
    </row>
    <row r="46" spans="1:13" ht="18.75" customHeight="1" thickBot="1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70"/>
    </row>
    <row r="47" spans="1:13" ht="19.5" thickTop="1">
      <c r="A47" s="173" t="s">
        <v>144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</row>
    <row r="49" spans="1:1">
      <c r="A49" s="107"/>
    </row>
    <row r="50" spans="1:1" ht="21" customHeight="1"/>
    <row r="51" spans="1:1" ht="30.75" customHeight="1"/>
    <row r="113" ht="21" customHeight="1"/>
    <row r="114" ht="30.75" customHeight="1"/>
    <row r="176" ht="21" customHeight="1"/>
    <row r="177" ht="30.75" customHeight="1"/>
    <row r="178" ht="13.5" customHeight="1"/>
  </sheetData>
  <sheetProtection algorithmName="SHA-512" hashValue="4+8OklzDmCTzw0u+lee7I60Np6VUj+Bh/jFyyMePR359+RrCSqGI3MEbchIeBzTPAidw3i/aPKIKhDGd7e48Kw==" saltValue="kl95gt26iAuuCiS7s6XYjA==" spinCount="100000" sheet="1" objects="1" scenarios="1"/>
  <mergeCells count="24">
    <mergeCell ref="E20:F21"/>
    <mergeCell ref="G20:H21"/>
    <mergeCell ref="I20:I21"/>
    <mergeCell ref="E22:F23"/>
    <mergeCell ref="G22:H23"/>
    <mergeCell ref="I22:I23"/>
    <mergeCell ref="E16:F17"/>
    <mergeCell ref="G16:H17"/>
    <mergeCell ref="I16:I17"/>
    <mergeCell ref="E18:F19"/>
    <mergeCell ref="G18:H19"/>
    <mergeCell ref="I18:I19"/>
    <mergeCell ref="E12:F13"/>
    <mergeCell ref="G12:H13"/>
    <mergeCell ref="I12:I13"/>
    <mergeCell ref="E14:F15"/>
    <mergeCell ref="G14:H15"/>
    <mergeCell ref="I14:I15"/>
    <mergeCell ref="B2:C2"/>
    <mergeCell ref="E2:F2"/>
    <mergeCell ref="H2:I2"/>
    <mergeCell ref="B9:L10"/>
    <mergeCell ref="E11:F11"/>
    <mergeCell ref="G11:H11"/>
  </mergeCells>
  <phoneticPr fontId="1"/>
  <pageMargins left="0.23622047244094491" right="0.23622047244094491" top="0.35433070866141736" bottom="0.35433070866141736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Sheet1!$A$1:$A$5</xm:f>
          </x14:formula1>
          <xm:sqref>B2:C2</xm:sqref>
        </x14:dataValidation>
        <x14:dataValidation type="list" allowBlank="1" showInputMessage="1" showErrorMessage="1">
          <x14:formula1>
            <xm:f>Sheet1!$B$1:$B$16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93" t="s">
        <v>135</v>
      </c>
      <c r="M1" s="94"/>
    </row>
    <row r="2" spans="1:13" ht="30.75" customHeight="1" thickTop="1">
      <c r="A2" s="95" t="s">
        <v>136</v>
      </c>
      <c r="B2" s="314"/>
      <c r="C2" s="315"/>
      <c r="D2" s="96" t="s">
        <v>137</v>
      </c>
      <c r="E2" s="316"/>
      <c r="F2" s="317"/>
      <c r="G2" s="97" t="s">
        <v>4</v>
      </c>
      <c r="H2" s="318">
        <f>SUMIFS( 支出明細!E:E, 支出明細!D:D, E2, 支出明細!B:B, "&gt;=" &amp; DATEVALUE(K2 &amp; "/01"), 支出明細!B:B, "&lt;=" &amp; EOMONTH(DATEVALUE(M2 &amp; "/01"), 0) )</f>
        <v>0</v>
      </c>
      <c r="I2" s="319"/>
      <c r="J2" s="98" t="s">
        <v>138</v>
      </c>
      <c r="K2" s="162"/>
      <c r="L2" s="99" t="s">
        <v>139</v>
      </c>
      <c r="M2" s="164"/>
    </row>
    <row r="3" spans="1:13" ht="13.5" customHeight="1">
      <c r="A3" s="100" t="s">
        <v>140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ht="18.75" customHeight="1">
      <c r="A4" s="103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108"/>
      <c r="M4" s="105"/>
    </row>
    <row r="5" spans="1:13" ht="18.75" customHeight="1">
      <c r="A5" s="103"/>
      <c r="B5" s="104"/>
      <c r="C5" s="104"/>
      <c r="E5" s="109"/>
      <c r="F5" s="109"/>
      <c r="G5" s="109"/>
      <c r="H5" s="109"/>
      <c r="I5" s="108"/>
      <c r="J5" s="104"/>
      <c r="K5" s="104"/>
      <c r="L5" s="104"/>
      <c r="M5" s="105"/>
    </row>
    <row r="6" spans="1:13" ht="18.75" customHeight="1">
      <c r="A6" s="103"/>
      <c r="B6" s="104"/>
      <c r="C6" s="104"/>
      <c r="D6" s="104"/>
      <c r="E6" s="110"/>
      <c r="F6" s="110"/>
      <c r="G6" s="111"/>
      <c r="H6" s="110"/>
      <c r="I6" s="110"/>
      <c r="J6" s="104"/>
      <c r="K6" s="104"/>
      <c r="L6" s="104"/>
      <c r="M6" s="105"/>
    </row>
    <row r="7" spans="1:13" ht="18.75" customHeight="1">
      <c r="A7" s="103"/>
      <c r="B7" s="104"/>
      <c r="C7" s="104"/>
      <c r="D7" s="104"/>
      <c r="E7" s="110"/>
      <c r="F7" s="110"/>
      <c r="G7" s="110"/>
      <c r="H7" s="110"/>
      <c r="I7" s="110"/>
      <c r="J7" s="104"/>
      <c r="K7" s="104"/>
      <c r="L7" s="104"/>
      <c r="M7" s="105"/>
    </row>
    <row r="8" spans="1:13" ht="18.75" customHeight="1">
      <c r="A8" s="103"/>
      <c r="B8" s="104"/>
      <c r="C8" s="104"/>
      <c r="D8" s="104"/>
      <c r="E8" s="110"/>
      <c r="F8" s="110"/>
      <c r="G8" s="111"/>
      <c r="H8" s="110"/>
      <c r="I8" s="110"/>
      <c r="J8" s="104"/>
      <c r="K8" s="104"/>
      <c r="L8" s="104"/>
      <c r="M8" s="105"/>
    </row>
    <row r="9" spans="1:13" ht="18.75" customHeight="1">
      <c r="A9" s="103"/>
      <c r="B9" s="104"/>
      <c r="C9" s="104"/>
      <c r="D9" s="104"/>
      <c r="E9" s="110"/>
      <c r="F9" s="110"/>
      <c r="G9" s="110"/>
      <c r="H9" s="110"/>
      <c r="I9" s="110"/>
      <c r="J9" s="104"/>
      <c r="K9" s="104"/>
      <c r="L9" s="104"/>
      <c r="M9" s="105"/>
    </row>
    <row r="10" spans="1:13" ht="18.75" customHeight="1">
      <c r="A10" s="103"/>
      <c r="B10" s="104"/>
      <c r="C10" s="104"/>
      <c r="D10" s="104"/>
      <c r="E10" s="110"/>
      <c r="F10" s="110"/>
      <c r="G10" s="111"/>
      <c r="H10" s="110"/>
      <c r="I10" s="110"/>
      <c r="J10" s="104"/>
      <c r="K10" s="104"/>
      <c r="L10" s="104"/>
      <c r="M10" s="105"/>
    </row>
    <row r="11" spans="1:13" ht="18.75" customHeight="1">
      <c r="A11" s="103"/>
      <c r="B11" s="104"/>
      <c r="C11" s="104"/>
      <c r="D11" s="104"/>
      <c r="E11" s="110"/>
      <c r="F11" s="110"/>
      <c r="G11" s="110"/>
      <c r="H11" s="110"/>
      <c r="I11" s="110"/>
      <c r="J11" s="104"/>
      <c r="K11" s="104"/>
      <c r="L11" s="104"/>
      <c r="M11" s="105"/>
    </row>
    <row r="12" spans="1:13" ht="18.75" customHeight="1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ht="18.75" customHeight="1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1:13" ht="18.75" customHeight="1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</row>
    <row r="15" spans="1:13" ht="18.75" customHeight="1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5"/>
    </row>
    <row r="16" spans="1:13" ht="18.75" customHeight="1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</row>
    <row r="17" spans="1:13" ht="18.75" customHeight="1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3" ht="14.25" customHeight="1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</row>
    <row r="19" spans="1:13" ht="18.75" customHeight="1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</row>
    <row r="20" spans="1:13" ht="18.75" customHeight="1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1:13" ht="18.75" customHeight="1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1:13" ht="18.75" customHeight="1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3" ht="18.75" customHeight="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</row>
    <row r="24" spans="1:13" ht="18.75" customHeight="1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</row>
    <row r="25" spans="1:13" ht="18.75" customHeight="1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5"/>
    </row>
    <row r="26" spans="1:13" ht="18.75" customHeight="1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</row>
    <row r="27" spans="1:13" ht="18.75" customHeight="1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5"/>
    </row>
    <row r="28" spans="1:13" ht="18.75" customHeight="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5"/>
    </row>
    <row r="29" spans="1:13" ht="18.75" customHeight="1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5"/>
    </row>
    <row r="30" spans="1:13" ht="18.75" customHeight="1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</row>
    <row r="31" spans="1:13" ht="18.75" customHeight="1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1:13" ht="18.75" customHeight="1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5"/>
    </row>
    <row r="33" spans="1:13" ht="18.75" customHeight="1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5"/>
    </row>
    <row r="34" spans="1:13" ht="18.75" customHeight="1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  <row r="35" spans="1:13" ht="18.75" customHeight="1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</row>
    <row r="36" spans="1:13" ht="18.75" customHeight="1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5"/>
    </row>
    <row r="37" spans="1:13" ht="18.75" customHeight="1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1:13" ht="18.75" customHeight="1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5"/>
    </row>
    <row r="39" spans="1:13" ht="18.75" customHeight="1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</row>
    <row r="40" spans="1:13" ht="18.75" customHeight="1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/>
    </row>
    <row r="41" spans="1:13" ht="18.75" customHeight="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</row>
    <row r="42" spans="1:13" ht="18.75" customHeight="1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5"/>
    </row>
    <row r="43" spans="1:13" ht="18.75" customHeight="1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5"/>
    </row>
    <row r="44" spans="1:13" ht="18.75" customHeight="1" thickBot="1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5"/>
    </row>
    <row r="45" spans="1:13" ht="18.75" customHeight="1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</row>
    <row r="46" spans="1:13" ht="18.75" customHeight="1" thickBot="1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5"/>
    </row>
    <row r="47" spans="1:13" ht="19.5" thickTop="1">
      <c r="A47" s="106" t="s">
        <v>144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9" spans="1:1">
      <c r="A49" s="107"/>
    </row>
    <row r="50" spans="1:1" ht="21" customHeight="1"/>
    <row r="51" spans="1:1" ht="30.75" customHeight="1"/>
    <row r="113" ht="21" customHeight="1"/>
    <row r="114" ht="30.75" customHeight="1"/>
    <row r="176" ht="21" customHeight="1"/>
    <row r="177" ht="30.75" customHeight="1"/>
    <row r="178" ht="13.5" customHeight="1"/>
  </sheetData>
  <sheetProtection algorithmName="SHA-512" hashValue="6EhBEYJcVYeM30/9MP/aW8rFxISjmfBGrgNqGOQ4rozd93baTJg0cXlkK58hm7JG54iUyushEn1kAIla5xiufA==" saltValue="WY4dHxuZG6yENS4IFnFpMw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Sheet1!$A$1:$A$5</xm:f>
          </x14:formula1>
          <xm:sqref>B2:C2</xm:sqref>
        </x14:dataValidation>
        <x14:dataValidation type="list" allowBlank="1" showInputMessage="1" showErrorMessage="1">
          <x14:formula1>
            <xm:f>Sheet1!$B$1:$B$16</xm:f>
          </x14:formula1>
          <xm:sqref>E2:F2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4" workbookViewId="0">
      <selection activeCell="E16" sqref="E16"/>
    </sheetView>
  </sheetViews>
  <sheetFormatPr defaultRowHeight="18.75"/>
  <cols>
    <col min="1" max="1" width="13" bestFit="1" customWidth="1"/>
  </cols>
  <sheetData>
    <row r="1" spans="1:2">
      <c r="A1" s="3" t="s">
        <v>5</v>
      </c>
      <c r="B1" s="2" t="s">
        <v>10</v>
      </c>
    </row>
    <row r="2" spans="1:2">
      <c r="A2" s="3" t="s">
        <v>6</v>
      </c>
      <c r="B2" s="2" t="s">
        <v>9</v>
      </c>
    </row>
    <row r="3" spans="1:2">
      <c r="A3" s="3" t="s">
        <v>7</v>
      </c>
      <c r="B3" s="2" t="s">
        <v>11</v>
      </c>
    </row>
    <row r="4" spans="1:2">
      <c r="A4" s="3" t="s">
        <v>8</v>
      </c>
      <c r="B4" s="2" t="s">
        <v>12</v>
      </c>
    </row>
    <row r="5" spans="1:2">
      <c r="B5" s="2" t="s">
        <v>13</v>
      </c>
    </row>
    <row r="6" spans="1:2">
      <c r="B6" s="2" t="s">
        <v>14</v>
      </c>
    </row>
    <row r="7" spans="1:2">
      <c r="B7" s="2" t="s">
        <v>15</v>
      </c>
    </row>
    <row r="8" spans="1:2">
      <c r="B8" s="2" t="s">
        <v>16</v>
      </c>
    </row>
    <row r="9" spans="1:2">
      <c r="B9" s="2" t="s">
        <v>17</v>
      </c>
    </row>
    <row r="10" spans="1:2">
      <c r="B10" s="2" t="s">
        <v>18</v>
      </c>
    </row>
    <row r="11" spans="1:2">
      <c r="B11" s="2" t="s">
        <v>19</v>
      </c>
    </row>
    <row r="12" spans="1:2">
      <c r="B12" s="2" t="s">
        <v>20</v>
      </c>
    </row>
    <row r="13" spans="1:2">
      <c r="B13" s="2" t="s">
        <v>21</v>
      </c>
    </row>
    <row r="14" spans="1:2">
      <c r="B14" s="2" t="s">
        <v>22</v>
      </c>
    </row>
    <row r="15" spans="1:2">
      <c r="B15" s="5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澤邉 満</cp:lastModifiedBy>
  <cp:lastPrinted>2026-04-22T01:16:36Z</cp:lastPrinted>
  <dcterms:created xsi:type="dcterms:W3CDTF">2025-09-30T09:01:20Z</dcterms:created>
  <dcterms:modified xsi:type="dcterms:W3CDTF">2026-04-22T01:19:56Z</dcterms:modified>
</cp:coreProperties>
</file>