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1427\Desktop\"/>
    </mc:Choice>
  </mc:AlternateContent>
  <bookViews>
    <workbookView xWindow="0" yWindow="0" windowWidth="20490" windowHeight="7530"/>
  </bookViews>
  <sheets>
    <sheet name="利用者名簿" sheetId="1" r:id="rId1"/>
    <sheet name="支出合計" sheetId="4" r:id="rId2"/>
    <sheet name="支出明細" sheetId="3" r:id="rId3"/>
    <sheet name="収支決算書" sheetId="6" r:id="rId4"/>
    <sheet name="事業報告書（4月～9月）" sheetId="7" r:id="rId5"/>
    <sheet name="事業報告書（10月～3月）" sheetId="10" r:id="rId6"/>
    <sheet name="領収書貼付台紙（領収書なし）" sheetId="11" r:id="rId7"/>
    <sheet name="領収書貼付台紙（領収書あり）" sheetId="12" r:id="rId8"/>
    <sheet name="Sheet1" sheetId="5" r:id="rId9"/>
  </sheets>
  <definedNames>
    <definedName name="_xlnm._FilterDatabase" localSheetId="2" hidden="1">支出明細!$A$3:$E$103</definedName>
    <definedName name="_xlnm.Print_Area" localSheetId="5">'事業報告書（10月～3月）'!$A$1:$AK$30</definedName>
    <definedName name="_xlnm.Print_Area" localSheetId="4">'事業報告書（4月～9月）'!$A$1:$AK$30</definedName>
    <definedName name="_xlnm.Print_Area" localSheetId="7">'領収書貼付台紙（領収書あり）'!$A$1:$M$47</definedName>
    <definedName name="_xlnm.Print_Area" localSheetId="6">'領収書貼付台紙（領収書なし）'!$A$1:$M$48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E8" i="4" l="1"/>
  <c r="C13" i="6" l="1"/>
  <c r="K25" i="4"/>
  <c r="H25" i="4"/>
  <c r="E25" i="4"/>
  <c r="B25" i="4"/>
  <c r="K24" i="4"/>
  <c r="H24" i="4"/>
  <c r="E24" i="4"/>
  <c r="B24" i="4"/>
  <c r="K23" i="4"/>
  <c r="H23" i="4"/>
  <c r="E23" i="4"/>
  <c r="B23" i="4"/>
  <c r="K22" i="4"/>
  <c r="H22" i="4"/>
  <c r="E22" i="4"/>
  <c r="B22" i="4"/>
  <c r="K21" i="4"/>
  <c r="H21" i="4"/>
  <c r="E21" i="4"/>
  <c r="B21" i="4"/>
  <c r="K20" i="4"/>
  <c r="H20" i="4"/>
  <c r="E20" i="4"/>
  <c r="B20" i="4"/>
  <c r="K19" i="4"/>
  <c r="H19" i="4"/>
  <c r="E19" i="4"/>
  <c r="B19" i="4"/>
  <c r="K18" i="4"/>
  <c r="H18" i="4"/>
  <c r="E18" i="4"/>
  <c r="B18" i="4"/>
  <c r="K17" i="4"/>
  <c r="H17" i="4"/>
  <c r="E17" i="4"/>
  <c r="B17" i="4"/>
  <c r="K16" i="4"/>
  <c r="H16" i="4"/>
  <c r="E16" i="4"/>
  <c r="B16" i="4"/>
  <c r="K15" i="4"/>
  <c r="H15" i="4"/>
  <c r="E15" i="4"/>
  <c r="B15" i="4"/>
  <c r="B14" i="4"/>
  <c r="K14" i="4"/>
  <c r="H14" i="4"/>
  <c r="E14" i="4"/>
  <c r="H2" i="12"/>
  <c r="H2" i="11"/>
  <c r="AY9" i="7" l="1"/>
  <c r="AY11" i="7"/>
  <c r="AY13" i="7"/>
  <c r="AY15" i="7"/>
  <c r="AY17" i="7"/>
  <c r="AY19" i="7"/>
  <c r="AY21" i="7"/>
  <c r="AY23" i="7"/>
  <c r="AY25" i="7"/>
  <c r="AY7" i="7"/>
  <c r="AW9" i="7"/>
  <c r="AW11" i="7"/>
  <c r="AW13" i="7"/>
  <c r="AW15" i="7"/>
  <c r="AW17" i="7"/>
  <c r="AW19" i="7"/>
  <c r="AW21" i="7"/>
  <c r="AW23" i="7"/>
  <c r="AW25" i="7"/>
  <c r="AW7" i="7"/>
  <c r="AU9" i="7"/>
  <c r="AU11" i="7"/>
  <c r="AU13" i="7"/>
  <c r="AU15" i="7"/>
  <c r="AU17" i="7"/>
  <c r="AU19" i="7"/>
  <c r="AU21" i="7"/>
  <c r="AU23" i="7"/>
  <c r="AU25" i="7"/>
  <c r="AU7" i="7"/>
  <c r="AY9" i="10"/>
  <c r="AY11" i="10"/>
  <c r="AY13" i="10"/>
  <c r="AY15" i="10"/>
  <c r="AY17" i="10"/>
  <c r="AY19" i="10"/>
  <c r="AY21" i="10"/>
  <c r="AY23" i="10"/>
  <c r="AY25" i="10"/>
  <c r="AY7" i="10"/>
  <c r="AW9" i="10"/>
  <c r="AW11" i="10"/>
  <c r="AW13" i="10"/>
  <c r="AW15" i="10"/>
  <c r="AW17" i="10"/>
  <c r="AW19" i="10"/>
  <c r="AW21" i="10"/>
  <c r="AW23" i="10"/>
  <c r="AW25" i="10"/>
  <c r="AW7" i="10"/>
  <c r="AU9" i="10"/>
  <c r="AU11" i="10"/>
  <c r="AU13" i="10"/>
  <c r="AU15" i="10"/>
  <c r="AU17" i="10"/>
  <c r="AU19" i="10"/>
  <c r="AU21" i="10"/>
  <c r="AU23" i="10"/>
  <c r="AU25" i="10"/>
  <c r="AU7" i="10"/>
  <c r="AS9" i="10"/>
  <c r="AS11" i="10"/>
  <c r="AS13" i="10"/>
  <c r="AS15" i="10"/>
  <c r="AS17" i="10"/>
  <c r="AS19" i="10"/>
  <c r="AS21" i="10"/>
  <c r="AS23" i="10"/>
  <c r="AS25" i="10"/>
  <c r="AS7" i="10"/>
  <c r="AQ9" i="10"/>
  <c r="AQ11" i="10"/>
  <c r="AQ13" i="10"/>
  <c r="AQ15" i="10"/>
  <c r="AQ17" i="10"/>
  <c r="AQ19" i="10"/>
  <c r="AQ21" i="10"/>
  <c r="AQ23" i="10"/>
  <c r="AQ25" i="10"/>
  <c r="AQ7" i="10"/>
  <c r="AO9" i="10"/>
  <c r="AO11" i="10"/>
  <c r="AO13" i="10"/>
  <c r="AO15" i="10"/>
  <c r="AO17" i="10"/>
  <c r="AO19" i="10"/>
  <c r="AO21" i="10"/>
  <c r="AO23" i="10"/>
  <c r="AO25" i="10"/>
  <c r="AO7" i="10"/>
  <c r="AS9" i="7"/>
  <c r="AS11" i="7"/>
  <c r="AS13" i="7"/>
  <c r="AS15" i="7"/>
  <c r="AS17" i="7"/>
  <c r="AS19" i="7"/>
  <c r="AS21" i="7"/>
  <c r="AS23" i="7"/>
  <c r="AS25" i="7"/>
  <c r="AS7" i="7"/>
  <c r="AQ9" i="7"/>
  <c r="AQ11" i="7"/>
  <c r="AQ13" i="7"/>
  <c r="AQ15" i="7"/>
  <c r="AQ17" i="7"/>
  <c r="AQ19" i="7"/>
  <c r="AQ21" i="7"/>
  <c r="AQ23" i="7"/>
  <c r="AQ25" i="7"/>
  <c r="AQ7" i="7"/>
  <c r="AO9" i="7"/>
  <c r="AO11" i="7"/>
  <c r="AO13" i="7"/>
  <c r="AO15" i="7"/>
  <c r="AO17" i="7"/>
  <c r="AO19" i="7"/>
  <c r="AO21" i="7"/>
  <c r="AO23" i="7"/>
  <c r="AO25" i="7"/>
  <c r="AO7" i="7"/>
  <c r="AN25" i="10" l="1"/>
  <c r="AN23" i="10"/>
  <c r="AN21" i="10"/>
  <c r="AN19" i="10"/>
  <c r="AN17" i="10"/>
  <c r="AX17" i="10" s="1"/>
  <c r="AN15" i="10"/>
  <c r="AN13" i="10"/>
  <c r="AN11" i="10"/>
  <c r="AN9" i="10"/>
  <c r="AN7" i="10"/>
  <c r="AD2" i="10"/>
  <c r="AN25" i="7"/>
  <c r="AN23" i="7"/>
  <c r="AN21" i="7"/>
  <c r="AN19" i="7"/>
  <c r="AN15" i="7"/>
  <c r="AN11" i="7"/>
  <c r="AN7" i="7"/>
  <c r="AD2" i="7"/>
  <c r="AN13" i="7"/>
  <c r="E1" i="3"/>
  <c r="H37" i="4"/>
  <c r="D34" i="6"/>
  <c r="B29" i="4"/>
  <c r="D3" i="1"/>
  <c r="H29" i="4"/>
  <c r="C23" i="6" s="1"/>
  <c r="K31" i="4"/>
  <c r="C30" i="6" s="1"/>
  <c r="K30" i="4"/>
  <c r="C29" i="6" s="1"/>
  <c r="K29" i="4"/>
  <c r="C28" i="6" s="1"/>
  <c r="H33" i="4"/>
  <c r="H32" i="4"/>
  <c r="H31" i="4"/>
  <c r="C25" i="6" s="1"/>
  <c r="H30" i="4"/>
  <c r="C24" i="6" s="1"/>
  <c r="B34" i="4"/>
  <c r="C21" i="6" s="1"/>
  <c r="B33" i="4"/>
  <c r="C17" i="6" s="1"/>
  <c r="B32" i="4"/>
  <c r="C16" i="6" s="1"/>
  <c r="B31" i="4"/>
  <c r="C15" i="6" s="1"/>
  <c r="B30" i="4"/>
  <c r="C14" i="6" s="1"/>
  <c r="D4" i="1"/>
  <c r="AN9" i="7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AX21" i="7" l="1"/>
  <c r="AR11" i="7"/>
  <c r="AT13" i="7"/>
  <c r="AZ17" i="10"/>
  <c r="AZ19" i="10"/>
  <c r="AT17" i="10"/>
  <c r="AZ7" i="10"/>
  <c r="AV19" i="10"/>
  <c r="AX21" i="10"/>
  <c r="AZ23" i="10"/>
  <c r="AV17" i="10"/>
  <c r="AX19" i="10"/>
  <c r="AZ21" i="10"/>
  <c r="AP13" i="10"/>
  <c r="AR15" i="10"/>
  <c r="AR13" i="10"/>
  <c r="AT15" i="10"/>
  <c r="AT13" i="10"/>
  <c r="AV15" i="10"/>
  <c r="AV13" i="10"/>
  <c r="AX15" i="10"/>
  <c r="AX13" i="10"/>
  <c r="AZ15" i="10"/>
  <c r="AP9" i="10"/>
  <c r="AR11" i="10"/>
  <c r="AP25" i="10"/>
  <c r="AP7" i="10"/>
  <c r="AT11" i="10"/>
  <c r="AP23" i="10"/>
  <c r="AR25" i="10"/>
  <c r="AR7" i="10"/>
  <c r="AT9" i="10"/>
  <c r="AV11" i="10"/>
  <c r="AT25" i="10"/>
  <c r="AT7" i="10"/>
  <c r="AV9" i="10"/>
  <c r="AX11" i="10"/>
  <c r="AZ13" i="10"/>
  <c r="AP19" i="10"/>
  <c r="AR21" i="10"/>
  <c r="AT23" i="10"/>
  <c r="AV25" i="10"/>
  <c r="AR9" i="10"/>
  <c r="AP21" i="10"/>
  <c r="AV7" i="10"/>
  <c r="AX9" i="10"/>
  <c r="AZ11" i="10"/>
  <c r="AP17" i="10"/>
  <c r="AR19" i="10"/>
  <c r="AT21" i="10"/>
  <c r="AV23" i="10"/>
  <c r="AX25" i="10"/>
  <c r="AP11" i="10"/>
  <c r="AR23" i="10"/>
  <c r="AX7" i="10"/>
  <c r="AZ9" i="10"/>
  <c r="AP15" i="10"/>
  <c r="AR17" i="10"/>
  <c r="AT19" i="10"/>
  <c r="AV21" i="10"/>
  <c r="AX23" i="10"/>
  <c r="AZ25" i="10"/>
  <c r="AN17" i="7"/>
  <c r="AZ17" i="7" s="1"/>
  <c r="AV13" i="7"/>
  <c r="AT11" i="7"/>
  <c r="AP19" i="7"/>
  <c r="AV15" i="7"/>
  <c r="AX19" i="7"/>
  <c r="AV19" i="7"/>
  <c r="AZ13" i="7"/>
  <c r="AR13" i="7"/>
  <c r="AR9" i="7"/>
  <c r="AR23" i="7"/>
  <c r="AZ23" i="7"/>
  <c r="AR25" i="7"/>
  <c r="AR21" i="7"/>
  <c r="AT25" i="7"/>
  <c r="AZ21" i="7"/>
  <c r="AT23" i="7"/>
  <c r="AV11" i="7"/>
  <c r="AX15" i="7"/>
  <c r="AZ11" i="7"/>
  <c r="AP13" i="7"/>
  <c r="AT21" i="7"/>
  <c r="AV25" i="7"/>
  <c r="AV9" i="7"/>
  <c r="AX13" i="7"/>
  <c r="AT9" i="7"/>
  <c r="AP15" i="7"/>
  <c r="AT19" i="7"/>
  <c r="AV23" i="7"/>
  <c r="AX11" i="7"/>
  <c r="AR19" i="7"/>
  <c r="AP25" i="7"/>
  <c r="AP9" i="7"/>
  <c r="AX25" i="7"/>
  <c r="AX9" i="7"/>
  <c r="AR15" i="7"/>
  <c r="AT15" i="7"/>
  <c r="AZ15" i="7"/>
  <c r="AZ19" i="7"/>
  <c r="AV21" i="7"/>
  <c r="AP23" i="7"/>
  <c r="AX23" i="7"/>
  <c r="AP21" i="7"/>
  <c r="AZ25" i="7"/>
  <c r="AZ9" i="7"/>
  <c r="AX7" i="7"/>
  <c r="AP7" i="7"/>
  <c r="AR7" i="7"/>
  <c r="AT7" i="7"/>
  <c r="AV7" i="7"/>
  <c r="AZ7" i="7"/>
  <c r="AP11" i="7"/>
  <c r="D23" i="1"/>
  <c r="C26" i="6"/>
  <c r="K26" i="4"/>
  <c r="K8" i="4" s="1"/>
  <c r="E26" i="4"/>
  <c r="H26" i="4"/>
  <c r="H8" i="4" s="1"/>
  <c r="B26" i="4" l="1"/>
  <c r="AV27" i="10"/>
  <c r="G20" i="1" s="1"/>
  <c r="H20" i="1" s="1"/>
  <c r="AZ27" i="10"/>
  <c r="G22" i="1" s="1"/>
  <c r="H22" i="1" s="1"/>
  <c r="AX27" i="10"/>
  <c r="G21" i="1" s="1"/>
  <c r="H21" i="1" s="1"/>
  <c r="AT27" i="10"/>
  <c r="G19" i="1" s="1"/>
  <c r="H19" i="1" s="1"/>
  <c r="AP27" i="10"/>
  <c r="G17" i="1" s="1"/>
  <c r="H17" i="1" s="1"/>
  <c r="AR27" i="10"/>
  <c r="G18" i="1" s="1"/>
  <c r="H18" i="1" s="1"/>
  <c r="AX17" i="7"/>
  <c r="AX27" i="7" s="1"/>
  <c r="G15" i="1" s="1"/>
  <c r="H15" i="1" s="1"/>
  <c r="AT17" i="7"/>
  <c r="AT27" i="7" s="1"/>
  <c r="G13" i="1" s="1"/>
  <c r="H13" i="1" s="1"/>
  <c r="AV17" i="7"/>
  <c r="AV27" i="7" s="1"/>
  <c r="G14" i="1" s="1"/>
  <c r="H14" i="1" s="1"/>
  <c r="AP17" i="7"/>
  <c r="AP27" i="7" s="1"/>
  <c r="G11" i="1" s="1"/>
  <c r="H11" i="1" s="1"/>
  <c r="AR17" i="7"/>
  <c r="AR27" i="7" s="1"/>
  <c r="G12" i="1" s="1"/>
  <c r="H12" i="1" s="1"/>
  <c r="AZ27" i="7"/>
  <c r="G16" i="1" s="1"/>
  <c r="H16" i="1" s="1"/>
  <c r="C22" i="6"/>
  <c r="C31" i="6" s="1"/>
  <c r="H23" i="1" l="1"/>
  <c r="E4" i="4" l="1"/>
  <c r="C6" i="6" l="1"/>
  <c r="C9" i="6" s="1"/>
</calcChain>
</file>

<file path=xl/sharedStrings.xml><?xml version="1.0" encoding="utf-8"?>
<sst xmlns="http://schemas.openxmlformats.org/spreadsheetml/2006/main" count="892" uniqueCount="189">
  <si>
    <t>利用者名</t>
    <rPh sb="0" eb="4">
      <t>リヨウシャメイ</t>
    </rPh>
    <phoneticPr fontId="1"/>
  </si>
  <si>
    <t>日付</t>
    <rPh sb="0" eb="2">
      <t>ヒヅ</t>
    </rPh>
    <phoneticPr fontId="1"/>
  </si>
  <si>
    <t>補助区分</t>
    <rPh sb="0" eb="4">
      <t>ホジョクブン</t>
    </rPh>
    <phoneticPr fontId="1"/>
  </si>
  <si>
    <t>補助対象経費</t>
    <rPh sb="0" eb="6">
      <t>ホジョタイショウケイヒ</t>
    </rPh>
    <phoneticPr fontId="1"/>
  </si>
  <si>
    <t>金額</t>
    <rPh sb="0" eb="2">
      <t>キンガク</t>
    </rPh>
    <phoneticPr fontId="1"/>
  </si>
  <si>
    <t>運営費</t>
    <rPh sb="0" eb="3">
      <t>ウンエイヒ</t>
    </rPh>
    <phoneticPr fontId="1"/>
  </si>
  <si>
    <t>特定研修費</t>
    <rPh sb="0" eb="5">
      <t>トクテイケンシュウヒ</t>
    </rPh>
    <phoneticPr fontId="1"/>
  </si>
  <si>
    <t>送迎活動費</t>
    <rPh sb="0" eb="5">
      <t>ソウゲイカツドウヒ</t>
    </rPh>
    <phoneticPr fontId="1"/>
  </si>
  <si>
    <t>設立・更新費</t>
    <rPh sb="0" eb="2">
      <t>セツリツ</t>
    </rPh>
    <rPh sb="3" eb="6">
      <t>コウシンヒ</t>
    </rPh>
    <phoneticPr fontId="1"/>
  </si>
  <si>
    <t>運営費(通信費）</t>
    <rPh sb="0" eb="3">
      <t>ウンエイヒ</t>
    </rPh>
    <phoneticPr fontId="1"/>
  </si>
  <si>
    <t>運営費(人件費）</t>
    <rPh sb="0" eb="3">
      <t>ウンエイヒ</t>
    </rPh>
    <rPh sb="4" eb="7">
      <t>ジンケンヒ</t>
    </rPh>
    <phoneticPr fontId="1"/>
  </si>
  <si>
    <t>運営費(保険料）</t>
    <rPh sb="0" eb="3">
      <t>ウンエイヒ</t>
    </rPh>
    <phoneticPr fontId="1"/>
  </si>
  <si>
    <t>運営費(消耗品費）</t>
    <rPh sb="0" eb="3">
      <t>ウンエイヒ</t>
    </rPh>
    <phoneticPr fontId="1"/>
  </si>
  <si>
    <t>運営費(印刷費）</t>
    <rPh sb="0" eb="3">
      <t>ウンエイヒ</t>
    </rPh>
    <phoneticPr fontId="1"/>
  </si>
  <si>
    <t>運営費(その他）</t>
    <rPh sb="0" eb="3">
      <t>ウンエイヒ</t>
    </rPh>
    <rPh sb="6" eb="7">
      <t>タ</t>
    </rPh>
    <phoneticPr fontId="1"/>
  </si>
  <si>
    <t>特定研修費(移動支援に関する研修受講料）</t>
    <rPh sb="0" eb="5">
      <t>トクテイケンシュウヒ</t>
    </rPh>
    <phoneticPr fontId="1"/>
  </si>
  <si>
    <t>送迎活動費(車両賃借料)</t>
    <rPh sb="0" eb="5">
      <t>ソウゲイカツドウヒ</t>
    </rPh>
    <phoneticPr fontId="1"/>
  </si>
  <si>
    <t>送迎活動費(燃料費）</t>
    <rPh sb="0" eb="5">
      <t>ソウゲイカツドウヒ</t>
    </rPh>
    <phoneticPr fontId="1"/>
  </si>
  <si>
    <t>送迎活動費(移動支援サービス専用自動車保険料）</t>
    <rPh sb="0" eb="5">
      <t>ソウゲイカツドウヒ</t>
    </rPh>
    <phoneticPr fontId="1"/>
  </si>
  <si>
    <t>送迎活動費(修理費）</t>
    <rPh sb="0" eb="5">
      <t>ソウゲイカツドウヒ</t>
    </rPh>
    <phoneticPr fontId="1"/>
  </si>
  <si>
    <t>送迎活動費(その他）</t>
    <rPh sb="0" eb="5">
      <t>ソウゲイカツドウヒ</t>
    </rPh>
    <rPh sb="8" eb="9">
      <t>タ</t>
    </rPh>
    <phoneticPr fontId="1"/>
  </si>
  <si>
    <t>設立・更新費(備品購入費）</t>
    <rPh sb="0" eb="2">
      <t>セツリツ</t>
    </rPh>
    <rPh sb="3" eb="6">
      <t>コウシンヒ</t>
    </rPh>
    <phoneticPr fontId="1"/>
  </si>
  <si>
    <t>設立・更新費(被服費）</t>
    <rPh sb="0" eb="2">
      <t>セツリツ</t>
    </rPh>
    <rPh sb="3" eb="6">
      <t>コウシンヒ</t>
    </rPh>
    <phoneticPr fontId="1"/>
  </si>
  <si>
    <t>設立・更新費(その他)</t>
    <rPh sb="0" eb="2">
      <t>セツリツ</t>
    </rPh>
    <rPh sb="3" eb="6">
      <t>コウシンヒ</t>
    </rPh>
    <phoneticPr fontId="1"/>
  </si>
  <si>
    <t>（単位：円）</t>
    <rPh sb="1" eb="3">
      <t>タンイ</t>
    </rPh>
    <rPh sb="4" eb="5">
      <t>エン</t>
    </rPh>
    <phoneticPr fontId="1"/>
  </si>
  <si>
    <t>要介護度</t>
    <rPh sb="0" eb="4">
      <t>ヨウカイゴド</t>
    </rPh>
    <phoneticPr fontId="1"/>
  </si>
  <si>
    <t>補助対象者</t>
    <rPh sb="0" eb="4">
      <t>ホジョタイショウ</t>
    </rPh>
    <rPh sb="4" eb="5">
      <t>シャ</t>
    </rPh>
    <phoneticPr fontId="1"/>
  </si>
  <si>
    <t>運営費</t>
  </si>
  <si>
    <t>１～４人</t>
  </si>
  <si>
    <t>月額３，０００円</t>
  </si>
  <si>
    <t>５～９人</t>
  </si>
  <si>
    <t>月額６，５００円</t>
  </si>
  <si>
    <t>１０人以上</t>
  </si>
  <si>
    <t>月額１１，０００円</t>
  </si>
  <si>
    <t xml:space="preserve">利用対象者のうち、当該月の利用者数
（実人数）	</t>
    <phoneticPr fontId="1"/>
  </si>
  <si>
    <t xml:space="preserve">補助区分	</t>
    <phoneticPr fontId="1"/>
  </si>
  <si>
    <t>補助限度額</t>
    <phoneticPr fontId="1"/>
  </si>
  <si>
    <t>利用者数</t>
    <rPh sb="0" eb="4">
      <t>リヨウシャスウ</t>
    </rPh>
    <phoneticPr fontId="1"/>
  </si>
  <si>
    <t>補助限度額</t>
    <rPh sb="0" eb="5">
      <t>ホジョゲンドガク</t>
    </rPh>
    <phoneticPr fontId="1"/>
  </si>
  <si>
    <t>○利用者名簿</t>
    <rPh sb="1" eb="6">
      <t>リヨウシャメイボ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</si>
  <si>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</si>
  <si>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</si>
  <si>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</si>
  <si>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</si>
  <si>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</si>
  <si>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</si>
  <si>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</si>
  <si>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</si>
  <si>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</si>
  <si>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</si>
  <si>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1月</t>
    <rPh sb="1" eb="2">
      <t>ガツ</t>
    </rPh>
    <phoneticPr fontId="1"/>
  </si>
  <si>
    <t>2月</t>
  </si>
  <si>
    <t>2月</t>
    <rPh sb="1" eb="2">
      <t>ガツ</t>
    </rPh>
    <phoneticPr fontId="1"/>
  </si>
  <si>
    <t>3月</t>
  </si>
  <si>
    <t>3月</t>
    <rPh sb="1" eb="2">
      <t>ガツ</t>
    </rPh>
    <phoneticPr fontId="1"/>
  </si>
  <si>
    <t>〇運営費</t>
    <rPh sb="1" eb="4">
      <t>ウンエイヒ</t>
    </rPh>
    <phoneticPr fontId="1"/>
  </si>
  <si>
    <t>○訪問型住民主体サービス（支出明細）</t>
    <rPh sb="1" eb="8">
      <t>ホウモンガタジュウミンシュタイ</t>
    </rPh>
    <rPh sb="13" eb="15">
      <t>シシュツ</t>
    </rPh>
    <rPh sb="15" eb="17">
      <t>メイサイ</t>
    </rPh>
    <phoneticPr fontId="1"/>
  </si>
  <si>
    <t>支出額</t>
    <rPh sb="0" eb="3">
      <t>シシュツガク</t>
    </rPh>
    <phoneticPr fontId="1"/>
  </si>
  <si>
    <t>支出額</t>
    <rPh sb="0" eb="2">
      <t>シシュツ</t>
    </rPh>
    <rPh sb="2" eb="3">
      <t>ガク</t>
    </rPh>
    <phoneticPr fontId="1"/>
  </si>
  <si>
    <t>合計</t>
    <rPh sb="0" eb="2">
      <t>ゴウケイ</t>
    </rPh>
    <phoneticPr fontId="1"/>
  </si>
  <si>
    <t>〇訪問型住民主体サービス（支出合計）</t>
    <rPh sb="1" eb="8">
      <t>ホウモンガタジュウミンシュタイ</t>
    </rPh>
    <rPh sb="13" eb="17">
      <t>シシュツゴウケイ</t>
    </rPh>
    <phoneticPr fontId="1"/>
  </si>
  <si>
    <t>（年額）</t>
    <rPh sb="1" eb="3">
      <t>ネンガク</t>
    </rPh>
    <phoneticPr fontId="1"/>
  </si>
  <si>
    <t>（月額）</t>
    <rPh sb="1" eb="3">
      <t>ゲツガク</t>
    </rPh>
    <phoneticPr fontId="1"/>
  </si>
  <si>
    <t>別紙参照</t>
    <rPh sb="0" eb="2">
      <t>ベッシ</t>
    </rPh>
    <rPh sb="2" eb="4">
      <t>サンショウ</t>
    </rPh>
    <phoneticPr fontId="1"/>
  </si>
  <si>
    <t>人件費</t>
    <rPh sb="0" eb="3">
      <t>ジンケンヒ</t>
    </rPh>
    <phoneticPr fontId="1"/>
  </si>
  <si>
    <t>通信費</t>
    <rPh sb="0" eb="3">
      <t>ツウシンヒ</t>
    </rPh>
    <phoneticPr fontId="1"/>
  </si>
  <si>
    <t>保険料</t>
  </si>
  <si>
    <t>保険料</t>
    <rPh sb="0" eb="3">
      <t>ホケンリョウ</t>
    </rPh>
    <phoneticPr fontId="1"/>
  </si>
  <si>
    <t>消耗品費</t>
    <rPh sb="0" eb="3">
      <t>ショウモウヒン</t>
    </rPh>
    <phoneticPr fontId="1"/>
  </si>
  <si>
    <t>印刷費</t>
    <rPh sb="0" eb="2">
      <t>インサツ</t>
    </rPh>
    <phoneticPr fontId="1"/>
  </si>
  <si>
    <t>その他</t>
  </si>
  <si>
    <t>その他</t>
    <rPh sb="2" eb="3">
      <t>タ</t>
    </rPh>
    <phoneticPr fontId="1"/>
  </si>
  <si>
    <t>内訳</t>
    <rPh sb="0" eb="2">
      <t>ウチワケ</t>
    </rPh>
    <phoneticPr fontId="1"/>
  </si>
  <si>
    <t>車両賃借料</t>
  </si>
  <si>
    <t>燃料費</t>
  </si>
  <si>
    <t>修理費</t>
  </si>
  <si>
    <t>備品購入費</t>
  </si>
  <si>
    <t>被服費</t>
  </si>
  <si>
    <t>補助金請求額</t>
    <rPh sb="0" eb="6">
      <t>ホジョキンセイキュウガク</t>
    </rPh>
    <phoneticPr fontId="1"/>
  </si>
  <si>
    <t>円</t>
    <rPh sb="0" eb="1">
      <t>エン</t>
    </rPh>
    <phoneticPr fontId="1"/>
  </si>
  <si>
    <t>団体名</t>
    <rPh sb="0" eb="3">
      <t>ダンタイメイ</t>
    </rPh>
    <phoneticPr fontId="1"/>
  </si>
  <si>
    <t>天草市住民主体サービス補助金　</t>
    <rPh sb="0" eb="3">
      <t>アマクサシ</t>
    </rPh>
    <rPh sb="3" eb="7">
      <t>ジュウミンシュタイ</t>
    </rPh>
    <phoneticPr fontId="15"/>
  </si>
  <si>
    <t>収支決算書</t>
    <rPh sb="2" eb="4">
      <t>ケッサン</t>
    </rPh>
    <phoneticPr fontId="15"/>
  </si>
  <si>
    <t>＜ 収 入 ＞</t>
    <phoneticPr fontId="15"/>
  </si>
  <si>
    <t>（単位：円）</t>
    <rPh sb="1" eb="3">
      <t>タンイ</t>
    </rPh>
    <rPh sb="4" eb="5">
      <t>エン</t>
    </rPh>
    <phoneticPr fontId="15"/>
  </si>
  <si>
    <t>費　　　目</t>
    <phoneticPr fontId="15"/>
  </si>
  <si>
    <t>決算額</t>
    <rPh sb="0" eb="2">
      <t>ケッサン</t>
    </rPh>
    <rPh sb="2" eb="3">
      <t>ガク</t>
    </rPh>
    <phoneticPr fontId="15"/>
  </si>
  <si>
    <t>説　明</t>
    <rPh sb="0" eb="1">
      <t>セツ</t>
    </rPh>
    <rPh sb="2" eb="3">
      <t>メイ</t>
    </rPh>
    <phoneticPr fontId="15"/>
  </si>
  <si>
    <t>天草市補助金</t>
    <rPh sb="0" eb="3">
      <t>アマクサシ</t>
    </rPh>
    <phoneticPr fontId="15"/>
  </si>
  <si>
    <t>収入額合計</t>
    <rPh sb="2" eb="3">
      <t>ガク</t>
    </rPh>
    <phoneticPr fontId="15"/>
  </si>
  <si>
    <t>＜ 支 出 ＞</t>
    <rPh sb="2" eb="3">
      <t>シ</t>
    </rPh>
    <phoneticPr fontId="15"/>
  </si>
  <si>
    <t>運営費</t>
    <rPh sb="0" eb="3">
      <t>ウンエイヒ</t>
    </rPh>
    <phoneticPr fontId="15"/>
  </si>
  <si>
    <t>人件費</t>
    <rPh sb="0" eb="3">
      <t>ジンケンヒ</t>
    </rPh>
    <phoneticPr fontId="15"/>
  </si>
  <si>
    <t>通信費</t>
    <rPh sb="0" eb="3">
      <t>ツウシンヒ</t>
    </rPh>
    <phoneticPr fontId="15"/>
  </si>
  <si>
    <t>保険料</t>
    <rPh sb="0" eb="3">
      <t>ホケンリョウ</t>
    </rPh>
    <phoneticPr fontId="15"/>
  </si>
  <si>
    <t>消耗品費</t>
    <rPh sb="0" eb="3">
      <t>ショウモウヒン</t>
    </rPh>
    <rPh sb="3" eb="4">
      <t>ヒ</t>
    </rPh>
    <phoneticPr fontId="15"/>
  </si>
  <si>
    <t>印刷費</t>
    <rPh sb="0" eb="3">
      <t>インサツヒ</t>
    </rPh>
    <phoneticPr fontId="15"/>
  </si>
  <si>
    <t>研修受講料</t>
    <rPh sb="0" eb="2">
      <t>ケンシュウ</t>
    </rPh>
    <rPh sb="2" eb="5">
      <t>ジュコウリョウ</t>
    </rPh>
    <phoneticPr fontId="15"/>
  </si>
  <si>
    <t>賃借料</t>
    <rPh sb="0" eb="3">
      <t>チンシャクリョウ</t>
    </rPh>
    <phoneticPr fontId="15"/>
  </si>
  <si>
    <t>水道光熱費</t>
    <rPh sb="0" eb="5">
      <t>スイドウコウネツヒ</t>
    </rPh>
    <phoneticPr fontId="15"/>
  </si>
  <si>
    <t>車両賃借料</t>
    <rPh sb="0" eb="5">
      <t>シャリョウチンシャクリョウ</t>
    </rPh>
    <phoneticPr fontId="1"/>
  </si>
  <si>
    <t>燃料費</t>
    <rPh sb="0" eb="3">
      <t>ネンリョウヒ</t>
    </rPh>
    <phoneticPr fontId="1"/>
  </si>
  <si>
    <t>修理費等</t>
    <rPh sb="0" eb="4">
      <t>シュウリヒトウ</t>
    </rPh>
    <phoneticPr fontId="1"/>
  </si>
  <si>
    <t>設立・更新費</t>
  </si>
  <si>
    <t>施設修繕費</t>
    <rPh sb="0" eb="2">
      <t>シセツ</t>
    </rPh>
    <rPh sb="2" eb="5">
      <t>シュウゼンヒ</t>
    </rPh>
    <phoneticPr fontId="15"/>
  </si>
  <si>
    <t>備品購入費</t>
    <rPh sb="0" eb="2">
      <t>ビヒン</t>
    </rPh>
    <rPh sb="2" eb="4">
      <t>コウニュウ</t>
    </rPh>
    <rPh sb="4" eb="5">
      <t>ヒ</t>
    </rPh>
    <phoneticPr fontId="15"/>
  </si>
  <si>
    <t>被服費</t>
    <rPh sb="0" eb="3">
      <t>ヒフクヒ</t>
    </rPh>
    <phoneticPr fontId="15"/>
  </si>
  <si>
    <t>支出額合計</t>
    <rPh sb="0" eb="2">
      <t>シシュツ</t>
    </rPh>
    <rPh sb="2" eb="3">
      <t>ガク</t>
    </rPh>
    <rPh sb="3" eb="5">
      <t>ゴウケイ</t>
    </rPh>
    <phoneticPr fontId="15"/>
  </si>
  <si>
    <t>団体名</t>
    <phoneticPr fontId="1"/>
  </si>
  <si>
    <t>-</t>
    <phoneticPr fontId="1"/>
  </si>
  <si>
    <t>初年度・3年に1回</t>
    <rPh sb="0" eb="3">
      <t>ショネンド</t>
    </rPh>
    <rPh sb="5" eb="6">
      <t>ネン</t>
    </rPh>
    <rPh sb="8" eb="9">
      <t>カイ</t>
    </rPh>
    <phoneticPr fontId="1"/>
  </si>
  <si>
    <t>　各年４月１日～翌年３月３１日</t>
    <rPh sb="1" eb="3">
      <t>カクネン</t>
    </rPh>
    <rPh sb="4" eb="5">
      <t>ガツ</t>
    </rPh>
    <rPh sb="6" eb="7">
      <t>ニチ</t>
    </rPh>
    <rPh sb="8" eb="10">
      <t>ヨクネン</t>
    </rPh>
    <rPh sb="11" eb="12">
      <t>ガツ</t>
    </rPh>
    <rPh sb="14" eb="15">
      <t>ニチ</t>
    </rPh>
    <phoneticPr fontId="1"/>
  </si>
  <si>
    <t>　天草市住民主体サービス補助金　　　</t>
    <rPh sb="1" eb="8">
      <t>アマクサシジュウミンシュタイ</t>
    </rPh>
    <rPh sb="12" eb="15">
      <t>ホジョキン</t>
    </rPh>
    <phoneticPr fontId="1"/>
  </si>
  <si>
    <r>
      <rPr>
        <sz val="12"/>
        <color rgb="FFFF0000"/>
        <rFont val="ＭＳ 明朝"/>
        <family val="1"/>
        <charset val="128"/>
      </rPr>
      <t>1</t>
    </r>
    <r>
      <rPr>
        <sz val="12"/>
        <rFont val="ＭＳ 明朝"/>
        <family val="1"/>
        <charset val="128"/>
      </rPr>
      <t>/</t>
    </r>
    <r>
      <rPr>
        <sz val="12"/>
        <color rgb="FFFF0000"/>
        <rFont val="ＭＳ 明朝"/>
        <family val="1"/>
        <charset val="128"/>
      </rPr>
      <t>2</t>
    </r>
    <phoneticPr fontId="1"/>
  </si>
  <si>
    <t>団体名</t>
    <rPh sb="0" eb="2">
      <t>ダンタイ</t>
    </rPh>
    <rPh sb="2" eb="3">
      <t>メイ</t>
    </rPh>
    <phoneticPr fontId="1"/>
  </si>
  <si>
    <r>
      <t xml:space="preserve">利用者氏名
</t>
    </r>
    <r>
      <rPr>
        <sz val="12"/>
        <rFont val="ＭＳ 明朝"/>
        <family val="1"/>
        <charset val="128"/>
      </rPr>
      <t>（介護保険被保険者番号）</t>
    </r>
    <rPh sb="0" eb="3">
      <t>リヨウシャ</t>
    </rPh>
    <rPh sb="3" eb="5">
      <t>シメイ</t>
    </rPh>
    <rPh sb="7" eb="9">
      <t>カイゴ</t>
    </rPh>
    <rPh sb="9" eb="11">
      <t>ホケン</t>
    </rPh>
    <rPh sb="11" eb="15">
      <t>ヒホケンシャ</t>
    </rPh>
    <rPh sb="15" eb="17">
      <t>バンゴウ</t>
    </rPh>
    <phoneticPr fontId="1"/>
  </si>
  <si>
    <t>補助
対象</t>
    <rPh sb="0" eb="2">
      <t>ホジョ</t>
    </rPh>
    <rPh sb="3" eb="5">
      <t>タイショウ</t>
    </rPh>
    <phoneticPr fontId="1"/>
  </si>
  <si>
    <t>年齢</t>
    <rPh sb="0" eb="2">
      <t>ネンレイ</t>
    </rPh>
    <phoneticPr fontId="1"/>
  </si>
  <si>
    <t>認定区分</t>
    <rPh sb="0" eb="2">
      <t>ニンテイ</t>
    </rPh>
    <rPh sb="2" eb="4">
      <t>クブン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</si>
  <si>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</si>
  <si>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</si>
  <si>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</si>
  <si>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事業対象者
要支援１
要支援２</t>
    <rPh sb="0" eb="2">
      <t>ジギョウ</t>
    </rPh>
    <rPh sb="2" eb="4">
      <t>タイショウ</t>
    </rPh>
    <rPh sb="4" eb="5">
      <t>シャ</t>
    </rPh>
    <rPh sb="6" eb="9">
      <t>ヨウシエン</t>
    </rPh>
    <rPh sb="11" eb="14">
      <t>ヨウシエン</t>
    </rPh>
    <phoneticPr fontId="1"/>
  </si>
  <si>
    <t>（）</t>
    <phoneticPr fontId="1"/>
  </si>
  <si>
    <t>当該月の補助算定対象利用者数（実人数）※市記入欄</t>
    <rPh sb="0" eb="2">
      <t>トウガイ</t>
    </rPh>
    <rPh sb="2" eb="3">
      <t>ツキ</t>
    </rPh>
    <rPh sb="4" eb="6">
      <t>ホジョ</t>
    </rPh>
    <rPh sb="6" eb="8">
      <t>サンテイ</t>
    </rPh>
    <rPh sb="8" eb="10">
      <t>タイショウ</t>
    </rPh>
    <rPh sb="10" eb="13">
      <t>リヨウシャ</t>
    </rPh>
    <rPh sb="13" eb="14">
      <t>スウ</t>
    </rPh>
    <rPh sb="15" eb="16">
      <t>ジツ</t>
    </rPh>
    <rPh sb="16" eb="18">
      <t>ニンズウ</t>
    </rPh>
    <rPh sb="20" eb="21">
      <t>シ</t>
    </rPh>
    <rPh sb="21" eb="23">
      <t>キニュウ</t>
    </rPh>
    <rPh sb="23" eb="24">
      <t>ラン</t>
    </rPh>
    <phoneticPr fontId="1"/>
  </si>
  <si>
    <t>※補助金交付を決定する資料になりますので必ず記入してください。</t>
    <rPh sb="1" eb="4">
      <t>ホジョキン</t>
    </rPh>
    <rPh sb="4" eb="6">
      <t>コウフ</t>
    </rPh>
    <phoneticPr fontId="1"/>
  </si>
  <si>
    <t>※補助対象者以外の利用者も記入してください。（その場合は介護保険被保険者番号及び認定区分の記載は不要です。）</t>
    <rPh sb="1" eb="3">
      <t>ホジョ</t>
    </rPh>
    <rPh sb="3" eb="5">
      <t>タイショウ</t>
    </rPh>
    <rPh sb="5" eb="6">
      <t>シャ</t>
    </rPh>
    <rPh sb="6" eb="8">
      <t>イガイ</t>
    </rPh>
    <rPh sb="9" eb="12">
      <t>リヨウシャ</t>
    </rPh>
    <rPh sb="13" eb="15">
      <t>キニュウ</t>
    </rPh>
    <rPh sb="25" eb="27">
      <t>バアイ</t>
    </rPh>
    <rPh sb="28" eb="30">
      <t>カイゴ</t>
    </rPh>
    <rPh sb="30" eb="32">
      <t>ホケン</t>
    </rPh>
    <rPh sb="32" eb="36">
      <t>ヒホケンシャ</t>
    </rPh>
    <rPh sb="36" eb="38">
      <t>バンゴウ</t>
    </rPh>
    <rPh sb="38" eb="39">
      <t>オヨ</t>
    </rPh>
    <rPh sb="40" eb="42">
      <t>ニンテイ</t>
    </rPh>
    <rPh sb="42" eb="44">
      <t>クブン</t>
    </rPh>
    <rPh sb="45" eb="47">
      <t>キサイ</t>
    </rPh>
    <rPh sb="48" eb="50">
      <t>フヨウ</t>
    </rPh>
    <phoneticPr fontId="1"/>
  </si>
  <si>
    <t>※利用者が利用した日に○をつけてください。</t>
    <rPh sb="1" eb="4">
      <t>リヨウシャ</t>
    </rPh>
    <rPh sb="5" eb="7">
      <t>リヨウ</t>
    </rPh>
    <rPh sb="9" eb="10">
      <t>ヒ</t>
    </rPh>
    <phoneticPr fontId="1"/>
  </si>
  <si>
    <t>利用有無</t>
    <rPh sb="0" eb="4">
      <t>リヨウウム</t>
    </rPh>
    <phoneticPr fontId="1"/>
  </si>
  <si>
    <t>補助対象</t>
    <rPh sb="0" eb="4">
      <t>ホジョタイショウ</t>
    </rPh>
    <phoneticPr fontId="1"/>
  </si>
  <si>
    <t>5月</t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</si>
  <si>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</si>
  <si>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</si>
  <si>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</si>
  <si>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事業報告書（■訪問型住民主体サービス 　□通所型住民主体サービス　）</t>
    <rPh sb="0" eb="2">
      <t>ジギョウ</t>
    </rPh>
    <rPh sb="2" eb="5">
      <t>ホウコクショ</t>
    </rPh>
    <rPh sb="7" eb="9">
      <t>ホウモン</t>
    </rPh>
    <rPh sb="9" eb="10">
      <t>ガタ</t>
    </rPh>
    <rPh sb="10" eb="14">
      <t>ジュウミンシュタイ</t>
    </rPh>
    <rPh sb="21" eb="23">
      <t>ツウショ</t>
    </rPh>
    <rPh sb="23" eb="24">
      <t>ガタ</t>
    </rPh>
    <rPh sb="24" eb="28">
      <t>ジュウミンシュタイ</t>
    </rPh>
    <phoneticPr fontId="1"/>
  </si>
  <si>
    <t>A</t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</si>
  <si>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</si>
  <si>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</si>
  <si>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</si>
  <si>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</si>
  <si>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</si>
  <si>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</si>
  <si>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</si>
  <si>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要支援1</t>
  </si>
  <si>
    <t>事業対象者</t>
  </si>
  <si>
    <t>要支援2</t>
  </si>
  <si>
    <t>-</t>
  </si>
  <si>
    <t>○</t>
  </si>
  <si>
    <t>木</t>
    <rPh sb="0" eb="1">
      <t>モク</t>
    </rPh>
    <phoneticPr fontId="1"/>
  </si>
  <si>
    <t>木</t>
  </si>
  <si>
    <r>
      <t>（</t>
    </r>
    <r>
      <rPr>
        <b/>
        <sz val="11"/>
        <color rgb="FFFF0000"/>
        <rFont val="ＭＳ 明朝"/>
        <family val="1"/>
        <charset val="128"/>
      </rPr>
      <t>１２３４５６７８００</t>
    </r>
    <r>
      <rPr>
        <sz val="11"/>
        <rFont val="ＭＳ 明朝"/>
        <family val="1"/>
        <charset val="128"/>
      </rPr>
      <t>）</t>
    </r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</si>
  <si>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２３４５６７８９００</t>
    </r>
    <r>
      <rPr>
        <sz val="11"/>
        <rFont val="ＭＳ 明朝"/>
        <family val="1"/>
        <charset val="128"/>
      </rPr>
      <t>）</t>
    </r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</si>
  <si>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３４５６７８９０００</t>
    </r>
    <r>
      <rPr>
        <sz val="11"/>
        <rFont val="ＭＳ 明朝"/>
        <family val="1"/>
        <charset val="128"/>
      </rPr>
      <t>）</t>
    </r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</si>
  <si>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４５６７８９０１２３</t>
    </r>
    <r>
      <rPr>
        <sz val="11"/>
        <rFont val="ＭＳ 明朝"/>
        <family val="1"/>
        <charset val="128"/>
      </rPr>
      <t>）</t>
    </r>
    <phoneticPr fontId="1"/>
  </si>
  <si>
    <r>
      <t>（</t>
    </r>
    <r>
      <rPr>
        <b/>
        <sz val="11"/>
        <color rgb="FFFF0000"/>
        <rFont val="ＭＳ 明朝"/>
        <family val="1"/>
        <charset val="128"/>
      </rPr>
      <t>５６７８９０１２００</t>
    </r>
    <r>
      <rPr>
        <sz val="11"/>
        <rFont val="ＭＳ 明朝"/>
        <family val="1"/>
        <charset val="128"/>
      </rPr>
      <t>）</t>
    </r>
    <phoneticPr fontId="1"/>
  </si>
  <si>
    <t>○</t>
    <phoneticPr fontId="1"/>
  </si>
  <si>
    <t>●●●会</t>
    <rPh sb="3" eb="4">
      <t>カイ</t>
    </rPh>
    <phoneticPr fontId="1"/>
  </si>
  <si>
    <t>700円×1人×12月</t>
    <rPh sb="3" eb="4">
      <t>エン</t>
    </rPh>
    <rPh sb="6" eb="7">
      <t>ニン</t>
    </rPh>
    <rPh sb="10" eb="11">
      <t>ツキ</t>
    </rPh>
    <phoneticPr fontId="1"/>
  </si>
  <si>
    <t>調整用携帯通信費</t>
    <rPh sb="0" eb="3">
      <t>チョウセイヨウ</t>
    </rPh>
    <rPh sb="3" eb="8">
      <t>ケイタイツウシンヒ</t>
    </rPh>
    <phoneticPr fontId="1"/>
  </si>
  <si>
    <t>ボランティア保険　500円（3人）×48回</t>
    <rPh sb="6" eb="8">
      <t>ホケン</t>
    </rPh>
    <rPh sb="12" eb="13">
      <t>エン</t>
    </rPh>
    <rPh sb="15" eb="16">
      <t>ニン</t>
    </rPh>
    <phoneticPr fontId="1"/>
  </si>
  <si>
    <t>用紙、筆記用具、手袋、消毒薬、マスク</t>
    <rPh sb="0" eb="2">
      <t>ヨウシ</t>
    </rPh>
    <rPh sb="3" eb="7">
      <t>ヒッキヨウグ</t>
    </rPh>
    <phoneticPr fontId="1"/>
  </si>
  <si>
    <t>特定研修受講料　3人</t>
    <rPh sb="0" eb="7">
      <t>トクテイケンシュウジュコウリョウ</t>
    </rPh>
    <rPh sb="9" eb="10">
      <t>ニン</t>
    </rPh>
    <phoneticPr fontId="1"/>
  </si>
  <si>
    <t>施設から借用　500円×48回</t>
    <rPh sb="0" eb="2">
      <t>シセツ</t>
    </rPh>
    <rPh sb="4" eb="6">
      <t>シャクヨウ</t>
    </rPh>
    <rPh sb="10" eb="11">
      <t>エン</t>
    </rPh>
    <rPh sb="14" eb="15">
      <t>カイ</t>
    </rPh>
    <phoneticPr fontId="1"/>
  </si>
  <si>
    <t>364円×48回</t>
    <rPh sb="3" eb="4">
      <t>エン</t>
    </rPh>
    <rPh sb="7" eb="8">
      <t>カイ</t>
    </rPh>
    <phoneticPr fontId="1"/>
  </si>
  <si>
    <t>修理費</t>
    <rPh sb="0" eb="3">
      <t>シュウリヒ</t>
    </rPh>
    <phoneticPr fontId="1"/>
  </si>
  <si>
    <t>携帯購入費</t>
    <rPh sb="0" eb="5">
      <t>ケイタイコウニュウヒ</t>
    </rPh>
    <phoneticPr fontId="1"/>
  </si>
  <si>
    <t>サービス開始日</t>
    <rPh sb="4" eb="6">
      <t>カイシ</t>
    </rPh>
    <rPh sb="6" eb="7">
      <t>ビ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</si>
  <si>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5"/>
  </si>
  <si>
    <t>区分</t>
    <rPh sb="0" eb="2">
      <t>クブン</t>
    </rPh>
    <phoneticPr fontId="15"/>
  </si>
  <si>
    <t>対象経費</t>
    <rPh sb="0" eb="2">
      <t>タイショウ</t>
    </rPh>
    <rPh sb="2" eb="4">
      <t>ケイヒ</t>
    </rPh>
    <phoneticPr fontId="15"/>
  </si>
  <si>
    <t>対象期間</t>
    <rPh sb="0" eb="2">
      <t>タイショウ</t>
    </rPh>
    <rPh sb="2" eb="4">
      <t>キカン</t>
    </rPh>
    <phoneticPr fontId="15"/>
  </si>
  <si>
    <t>2025/4</t>
    <phoneticPr fontId="1"/>
  </si>
  <si>
    <t>～</t>
    <phoneticPr fontId="1"/>
  </si>
  <si>
    <t>2026/3</t>
    <phoneticPr fontId="1"/>
  </si>
  <si>
    <t xml:space="preserve">
</t>
    <phoneticPr fontId="15"/>
  </si>
  <si>
    <t>※人件費等の領収書がないものは、支払った方の氏名・金額を入力し、押印をお願いします。</t>
    <rPh sb="1" eb="5">
      <t>ジンケンヒトウ</t>
    </rPh>
    <rPh sb="6" eb="9">
      <t>リョウシュウショ</t>
    </rPh>
    <rPh sb="16" eb="18">
      <t>シハラ</t>
    </rPh>
    <rPh sb="20" eb="21">
      <t>カタ</t>
    </rPh>
    <rPh sb="22" eb="24">
      <t>シメイ</t>
    </rPh>
    <rPh sb="25" eb="27">
      <t>キンガク</t>
    </rPh>
    <rPh sb="28" eb="30">
      <t>ニュウリョク</t>
    </rPh>
    <rPh sb="32" eb="34">
      <t>オウイン</t>
    </rPh>
    <rPh sb="36" eb="37">
      <t>ネガ</t>
    </rPh>
    <phoneticPr fontId="1"/>
  </si>
  <si>
    <t>氏名</t>
    <rPh sb="0" eb="2">
      <t>シメイ</t>
    </rPh>
    <phoneticPr fontId="1"/>
  </si>
  <si>
    <t>受領印</t>
    <rPh sb="0" eb="3">
      <t>ジュリョウイン</t>
    </rPh>
    <phoneticPr fontId="1"/>
  </si>
  <si>
    <t>天草　太郎</t>
    <rPh sb="0" eb="2">
      <t>アマクサ</t>
    </rPh>
    <rPh sb="3" eb="5">
      <t>タロウ</t>
    </rPh>
    <phoneticPr fontId="1"/>
  </si>
  <si>
    <t>印</t>
    <rPh sb="0" eb="1">
      <t>イン</t>
    </rPh>
    <phoneticPr fontId="1"/>
  </si>
  <si>
    <t>※各領収書の宛名，金額等がきちんと見えるように貼り付けてください。</t>
    <rPh sb="11" eb="12">
      <t>トウ</t>
    </rPh>
    <phoneticPr fontId="15"/>
  </si>
  <si>
    <r>
      <rPr>
        <sz val="12"/>
        <color rgb="FFFF0000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/</t>
    </r>
    <r>
      <rPr>
        <sz val="12"/>
        <color rgb="FFFF0000"/>
        <rFont val="ＭＳ 明朝"/>
        <family val="1"/>
        <charset val="128"/>
      </rPr>
      <t>2</t>
    </r>
    <phoneticPr fontId="1"/>
  </si>
  <si>
    <t>.4</t>
    <phoneticPr fontId="1"/>
  </si>
  <si>
    <t>.3</t>
    <phoneticPr fontId="1"/>
  </si>
  <si>
    <t>※黄色のセルを入力してください。</t>
    <rPh sb="1" eb="3">
      <t>キイロ</t>
    </rPh>
    <rPh sb="7" eb="9">
      <t>ニュウリョク</t>
    </rPh>
    <phoneticPr fontId="1"/>
  </si>
  <si>
    <t>対象年度（西暦）</t>
    <rPh sb="0" eb="3">
      <t>タイショウネン</t>
    </rPh>
    <rPh sb="3" eb="4">
      <t>ド</t>
    </rPh>
    <rPh sb="5" eb="7">
      <t>セイレキ</t>
    </rPh>
    <phoneticPr fontId="1"/>
  </si>
  <si>
    <r>
      <t>令和　</t>
    </r>
    <r>
      <rPr>
        <sz val="12"/>
        <color rgb="FFFF0000"/>
        <rFont val="ＭＳ 明朝"/>
        <family val="1"/>
        <charset val="128"/>
      </rPr>
      <t>7　</t>
    </r>
    <r>
      <rPr>
        <sz val="12"/>
        <rFont val="ＭＳ 明朝"/>
        <family val="1"/>
        <charset val="128"/>
      </rPr>
      <t>年度</t>
    </r>
    <rPh sb="0" eb="2">
      <t>レイワ</t>
    </rPh>
    <phoneticPr fontId="1"/>
  </si>
  <si>
    <r>
      <t>令和　</t>
    </r>
    <r>
      <rPr>
        <sz val="12"/>
        <color rgb="FFFF0000"/>
        <rFont val="ＭＳ 明朝"/>
        <family val="1"/>
        <charset val="128"/>
      </rPr>
      <t>7</t>
    </r>
    <r>
      <rPr>
        <sz val="12"/>
        <rFont val="ＭＳ 明朝"/>
        <family val="1"/>
        <charset val="128"/>
      </rPr>
      <t>　年度</t>
    </r>
    <rPh sb="0" eb="2">
      <t>レイワ</t>
    </rPh>
    <phoneticPr fontId="1"/>
  </si>
  <si>
    <t>補助金限度額合計</t>
    <rPh sb="0" eb="3">
      <t>ホジョキン</t>
    </rPh>
    <rPh sb="3" eb="5">
      <t>ゲンド</t>
    </rPh>
    <rPh sb="5" eb="6">
      <t>ガク</t>
    </rPh>
    <rPh sb="6" eb="8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</si>
</sst>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_ "/>
    <numFmt numFmtId="178" formatCode="[$-411]ge\.m\.d;@"/>
    <numFmt numFmtId="179" formatCode="[$-411]ggge&quot;年&quot;m&quot;月&quot;d&quot;日&quot;;@"/>
  </numFmts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__Inter_e8ce0c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</cellStyleXfs>
  <cellXfs count="31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0" fillId="0" borderId="4" xfId="0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2" fillId="0" borderId="0" xfId="1" applyFont="1" applyFill="1" applyAlignment="1">
      <alignment horizontal="left" vertical="center"/>
    </xf>
    <xf numFmtId="38" fontId="14" fillId="0" borderId="0" xfId="1" applyFont="1" applyFill="1" applyAlignment="1">
      <alignment horizontal="right" vertical="center"/>
    </xf>
    <xf numFmtId="38" fontId="16" fillId="0" borderId="0" xfId="1" applyFont="1" applyFill="1" applyAlignment="1">
      <alignment vertical="center"/>
    </xf>
    <xf numFmtId="38" fontId="12" fillId="0" borderId="0" xfId="1" applyFont="1" applyFill="1" applyBorder="1" applyAlignment="1">
      <alignment horizontal="left" vertical="center"/>
    </xf>
    <xf numFmtId="38" fontId="12" fillId="0" borderId="0" xfId="1" applyFont="1" applyFill="1" applyAlignment="1">
      <alignment horizontal="right" vertical="center"/>
    </xf>
    <xf numFmtId="38" fontId="13" fillId="0" borderId="0" xfId="1" applyFont="1" applyAlignment="1">
      <alignment vertical="center"/>
    </xf>
    <xf numFmtId="38" fontId="12" fillId="0" borderId="1" xfId="1" applyFont="1" applyFill="1" applyBorder="1" applyAlignment="1">
      <alignment horizontal="center" vertical="center" wrapText="1"/>
    </xf>
    <xf numFmtId="38" fontId="12" fillId="2" borderId="13" xfId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wrapText="1"/>
    </xf>
    <xf numFmtId="38" fontId="12" fillId="0" borderId="0" xfId="1" applyFont="1" applyBorder="1" applyAlignment="1">
      <alignment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vertical="center" wrapText="1"/>
    </xf>
    <xf numFmtId="38" fontId="12" fillId="0" borderId="0" xfId="1" applyFont="1" applyFill="1" applyBorder="1" applyAlignment="1">
      <alignment vertical="center"/>
    </xf>
    <xf numFmtId="38" fontId="12" fillId="0" borderId="7" xfId="1" applyFont="1" applyFill="1" applyBorder="1" applyAlignment="1">
      <alignment horizontal="center" vertical="center" shrinkToFit="1"/>
    </xf>
    <xf numFmtId="38" fontId="12" fillId="0" borderId="15" xfId="1" applyFont="1" applyFill="1" applyBorder="1" applyAlignment="1">
      <alignment horizontal="center" vertical="center" shrinkToFit="1"/>
    </xf>
    <xf numFmtId="38" fontId="13" fillId="0" borderId="0" xfId="1" applyFont="1" applyBorder="1" applyAlignment="1">
      <alignment vertical="center"/>
    </xf>
    <xf numFmtId="38" fontId="18" fillId="0" borderId="0" xfId="1" applyFont="1" applyFill="1" applyAlignment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vertical="center" shrinkToFit="1"/>
    </xf>
    <xf numFmtId="177" fontId="11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7" fontId="0" fillId="0" borderId="0" xfId="0" applyNumberFormat="1" applyFill="1" applyAlignment="1">
      <alignment vertical="center" shrinkToFit="1"/>
    </xf>
    <xf numFmtId="177" fontId="0" fillId="0" borderId="0" xfId="0" applyNumberFormat="1" applyFill="1">
      <alignment vertical="center"/>
    </xf>
    <xf numFmtId="177" fontId="0" fillId="0" borderId="0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5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177" fontId="0" fillId="4" borderId="1" xfId="0" applyNumberFormat="1" applyFill="1" applyBorder="1">
      <alignment vertical="center"/>
    </xf>
    <xf numFmtId="178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6" fillId="0" borderId="0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38" fontId="12" fillId="0" borderId="4" xfId="1" applyFont="1" applyFill="1" applyBorder="1" applyAlignment="1">
      <alignment horizontal="right" vertical="center" wrapText="1"/>
    </xf>
    <xf numFmtId="176" fontId="12" fillId="4" borderId="9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8" fillId="0" borderId="4" xfId="0" applyFont="1" applyBorder="1" applyAlignment="1"/>
    <xf numFmtId="0" fontId="21" fillId="0" borderId="0" xfId="0" applyFont="1" applyAlignment="1"/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8" fillId="0" borderId="0" xfId="0" applyFont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55" xfId="0" applyFont="1" applyBorder="1">
      <alignment vertical="center"/>
    </xf>
    <xf numFmtId="0" fontId="18" fillId="0" borderId="57" xfId="0" applyFont="1" applyBorder="1">
      <alignment vertical="center"/>
    </xf>
    <xf numFmtId="0" fontId="12" fillId="0" borderId="0" xfId="0" applyFont="1">
      <alignment vertical="center"/>
    </xf>
    <xf numFmtId="0" fontId="21" fillId="0" borderId="1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/>
    <xf numFmtId="0" fontId="18" fillId="0" borderId="23" xfId="0" applyFont="1" applyBorder="1">
      <alignment vertical="center"/>
    </xf>
    <xf numFmtId="0" fontId="17" fillId="5" borderId="59" xfId="0" applyFont="1" applyFill="1" applyBorder="1" applyAlignment="1">
      <alignment vertical="center" wrapText="1"/>
    </xf>
    <xf numFmtId="0" fontId="29" fillId="0" borderId="4" xfId="0" applyFont="1" applyBorder="1" applyAlignment="1"/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178" fontId="32" fillId="4" borderId="1" xfId="0" applyNumberFormat="1" applyFont="1" applyFill="1" applyBorder="1" applyAlignment="1">
      <alignment horizontal="center" vertical="center"/>
    </xf>
    <xf numFmtId="56" fontId="32" fillId="4" borderId="1" xfId="0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shrinkToFit="1"/>
    </xf>
    <xf numFmtId="177" fontId="33" fillId="4" borderId="1" xfId="0" applyNumberFormat="1" applyFont="1" applyFill="1" applyBorder="1" applyAlignment="1">
      <alignment horizontal="right" vertical="center"/>
    </xf>
    <xf numFmtId="177" fontId="33" fillId="4" borderId="1" xfId="0" applyNumberFormat="1" applyFont="1" applyFill="1" applyBorder="1">
      <alignment vertical="center"/>
    </xf>
    <xf numFmtId="38" fontId="38" fillId="4" borderId="1" xfId="1" applyFont="1" applyFill="1" applyBorder="1" applyAlignment="1" applyProtection="1">
      <alignment vertical="center" wrapText="1"/>
      <protection locked="0"/>
    </xf>
    <xf numFmtId="38" fontId="38" fillId="4" borderId="1" xfId="1" applyFont="1" applyFill="1" applyBorder="1" applyAlignment="1" applyProtection="1">
      <alignment vertical="center"/>
      <protection locked="0"/>
    </xf>
    <xf numFmtId="176" fontId="38" fillId="0" borderId="18" xfId="1" applyNumberFormat="1" applyFont="1" applyFill="1" applyBorder="1" applyAlignment="1">
      <alignment vertical="center"/>
    </xf>
    <xf numFmtId="176" fontId="38" fillId="4" borderId="9" xfId="1" applyNumberFormat="1" applyFont="1" applyFill="1" applyBorder="1" applyAlignment="1" applyProtection="1">
      <alignment vertical="center"/>
      <protection locked="0"/>
    </xf>
    <xf numFmtId="0" fontId="25" fillId="0" borderId="4" xfId="0" applyFont="1" applyBorder="1" applyAlignment="1">
      <alignment horizontal="center" vertical="center"/>
    </xf>
    <xf numFmtId="38" fontId="12" fillId="0" borderId="4" xfId="1" applyFont="1" applyFill="1" applyBorder="1" applyAlignment="1" applyProtection="1">
      <alignment horizontal="center" vertical="center"/>
    </xf>
    <xf numFmtId="0" fontId="0" fillId="0" borderId="23" xfId="0" applyBorder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8" fillId="0" borderId="0" xfId="0" applyFont="1">
      <alignment vertical="center"/>
    </xf>
    <xf numFmtId="38" fontId="38" fillId="4" borderId="1" xfId="2" applyFont="1" applyFill="1" applyBorder="1" applyAlignment="1" applyProtection="1">
      <alignment vertical="center" wrapText="1"/>
      <protection locked="0"/>
    </xf>
    <xf numFmtId="38" fontId="38" fillId="4" borderId="1" xfId="2" applyFont="1" applyFill="1" applyBorder="1" applyAlignment="1" applyProtection="1">
      <alignment vertical="center"/>
      <protection locked="0"/>
    </xf>
    <xf numFmtId="0" fontId="37" fillId="7" borderId="2" xfId="0" applyFont="1" applyFill="1" applyBorder="1" applyAlignment="1">
      <alignment horizontal="center" vertical="center"/>
    </xf>
    <xf numFmtId="49" fontId="18" fillId="7" borderId="38" xfId="0" applyNumberFormat="1" applyFont="1" applyFill="1" applyBorder="1" applyAlignment="1">
      <alignment horizontal="distributed" vertical="center"/>
    </xf>
    <xf numFmtId="0" fontId="37" fillId="7" borderId="9" xfId="0" applyFont="1" applyFill="1" applyBorder="1" applyAlignment="1">
      <alignment horizontal="distributed" vertical="center"/>
    </xf>
    <xf numFmtId="0" fontId="31" fillId="7" borderId="9" xfId="0" applyFont="1" applyFill="1" applyBorder="1" applyAlignment="1">
      <alignment horizontal="distributed" vertical="center"/>
    </xf>
    <xf numFmtId="49" fontId="18" fillId="7" borderId="25" xfId="0" applyNumberFormat="1" applyFont="1" applyFill="1" applyBorder="1" applyAlignment="1">
      <alignment horizontal="distributed" vertical="center"/>
    </xf>
    <xf numFmtId="0" fontId="36" fillId="7" borderId="3" xfId="0" applyFont="1" applyFill="1" applyBorder="1" applyAlignment="1">
      <alignment horizontal="center" vertical="center"/>
    </xf>
    <xf numFmtId="0" fontId="36" fillId="7" borderId="24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36" fillId="7" borderId="28" xfId="0" applyFont="1" applyFill="1" applyBorder="1" applyAlignment="1">
      <alignment horizontal="center" vertical="center"/>
    </xf>
    <xf numFmtId="0" fontId="36" fillId="7" borderId="29" xfId="0" applyFont="1" applyFill="1" applyBorder="1" applyAlignment="1">
      <alignment horizontal="center" vertical="center"/>
    </xf>
    <xf numFmtId="0" fontId="28" fillId="7" borderId="29" xfId="0" applyFont="1" applyFill="1" applyBorder="1" applyAlignment="1">
      <alignment horizontal="center" vertical="center"/>
    </xf>
    <xf numFmtId="0" fontId="28" fillId="7" borderId="30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distributed" vertical="center"/>
    </xf>
    <xf numFmtId="0" fontId="36" fillId="7" borderId="22" xfId="0" applyFont="1" applyFill="1" applyBorder="1" applyAlignment="1">
      <alignment horizontal="center" vertical="center"/>
    </xf>
    <xf numFmtId="0" fontId="36" fillId="7" borderId="8" xfId="0" applyFont="1" applyFill="1" applyBorder="1" applyAlignment="1">
      <alignment horizontal="center" vertical="center"/>
    </xf>
    <xf numFmtId="0" fontId="43" fillId="6" borderId="14" xfId="0" applyFont="1" applyFill="1" applyBorder="1" applyAlignment="1" applyProtection="1">
      <alignment horizontal="right" vertical="center"/>
      <protection locked="0"/>
    </xf>
    <xf numFmtId="0" fontId="43" fillId="6" borderId="5" xfId="0" applyFont="1" applyFill="1" applyBorder="1" applyAlignment="1" applyProtection="1">
      <alignment horizontal="right" vertical="center"/>
      <protection locked="0"/>
    </xf>
    <xf numFmtId="176" fontId="12" fillId="0" borderId="1" xfId="1" applyNumberFormat="1" applyFont="1" applyFill="1" applyBorder="1" applyAlignment="1" applyProtection="1">
      <alignment vertical="center"/>
    </xf>
    <xf numFmtId="176" fontId="12" fillId="0" borderId="1" xfId="2" applyNumberFormat="1" applyFont="1" applyFill="1" applyBorder="1" applyAlignment="1" applyProtection="1">
      <alignment vertical="center" shrinkToFit="1"/>
    </xf>
    <xf numFmtId="38" fontId="12" fillId="2" borderId="12" xfId="1" applyFont="1" applyFill="1" applyBorder="1" applyAlignment="1" applyProtection="1">
      <alignment vertical="center"/>
    </xf>
    <xf numFmtId="38" fontId="12" fillId="0" borderId="5" xfId="1" applyFont="1" applyFill="1" applyBorder="1" applyAlignment="1" applyProtection="1">
      <alignment horizontal="right" vertical="center" wrapText="1"/>
    </xf>
    <xf numFmtId="38" fontId="12" fillId="0" borderId="7" xfId="1" applyFont="1" applyFill="1" applyBorder="1" applyAlignment="1" applyProtection="1">
      <alignment horizontal="right" vertical="center"/>
    </xf>
    <xf numFmtId="38" fontId="12" fillId="0" borderId="12" xfId="1" applyFont="1" applyFill="1" applyBorder="1" applyAlignment="1" applyProtection="1">
      <alignment vertical="center" wrapText="1"/>
    </xf>
    <xf numFmtId="38" fontId="38" fillId="0" borderId="1" xfId="1" applyFont="1" applyFill="1" applyBorder="1" applyAlignment="1" applyProtection="1">
      <alignment vertical="center" wrapText="1"/>
    </xf>
    <xf numFmtId="38" fontId="38" fillId="0" borderId="1" xfId="1" applyFont="1" applyFill="1" applyBorder="1" applyAlignment="1" applyProtection="1">
      <alignment vertical="center"/>
    </xf>
    <xf numFmtId="0" fontId="4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49" fontId="32" fillId="7" borderId="5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49" fontId="32" fillId="7" borderId="62" xfId="0" applyNumberFormat="1" applyFont="1" applyFill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64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65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 wrapText="1"/>
      <protection locked="0"/>
    </xf>
    <xf numFmtId="3" fontId="42" fillId="0" borderId="0" xfId="0" applyNumberFormat="1" applyFont="1" applyAlignment="1" applyProtection="1">
      <alignment vertical="center" wrapText="1"/>
      <protection locked="0"/>
    </xf>
    <xf numFmtId="57" fontId="32" fillId="4" borderId="4" xfId="0" applyNumberFormat="1" applyFont="1" applyFill="1" applyBorder="1" applyAlignment="1" applyProtection="1">
      <alignment horizontal="center" vertical="center"/>
      <protection locked="0"/>
    </xf>
    <xf numFmtId="0" fontId="32" fillId="4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3" fillId="4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9" fontId="38" fillId="4" borderId="0" xfId="1" applyNumberFormat="1" applyFont="1" applyFill="1" applyBorder="1" applyAlignment="1" applyProtection="1">
      <alignment horizontal="right" vertical="center" wrapText="1"/>
      <protection locked="0"/>
    </xf>
    <xf numFmtId="38" fontId="16" fillId="0" borderId="0" xfId="1" applyFont="1" applyFill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 shrinkToFit="1"/>
    </xf>
    <xf numFmtId="38" fontId="12" fillId="0" borderId="6" xfId="1" applyFont="1" applyFill="1" applyBorder="1" applyAlignment="1">
      <alignment horizontal="center" vertical="center" shrinkToFit="1"/>
    </xf>
    <xf numFmtId="38" fontId="12" fillId="4" borderId="7" xfId="1" applyFont="1" applyFill="1" applyBorder="1" applyAlignment="1" applyProtection="1">
      <alignment horizontal="center" vertical="center" shrinkToFit="1"/>
      <protection locked="0"/>
    </xf>
    <xf numFmtId="38" fontId="12" fillId="4" borderId="8" xfId="1" applyFont="1" applyFill="1" applyBorder="1" applyAlignment="1" applyProtection="1">
      <alignment horizontal="center" vertical="center" shrinkToFit="1"/>
      <protection locked="0"/>
    </xf>
    <xf numFmtId="38" fontId="12" fillId="2" borderId="10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  <xf numFmtId="38" fontId="12" fillId="2" borderId="5" xfId="1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horizontal="center" vertical="center" textRotation="255"/>
    </xf>
    <xf numFmtId="38" fontId="17" fillId="0" borderId="2" xfId="1" applyFont="1" applyFill="1" applyBorder="1" applyAlignment="1">
      <alignment horizontal="center" vertical="center" textRotation="255"/>
    </xf>
    <xf numFmtId="38" fontId="17" fillId="0" borderId="1" xfId="1" applyFont="1" applyFill="1" applyBorder="1" applyAlignment="1">
      <alignment horizontal="center" vertical="center" textRotation="255"/>
    </xf>
    <xf numFmtId="38" fontId="12" fillId="0" borderId="16" xfId="1" applyFont="1" applyFill="1" applyBorder="1" applyAlignment="1">
      <alignment horizontal="center" vertical="center" wrapText="1"/>
    </xf>
    <xf numFmtId="38" fontId="12" fillId="0" borderId="17" xfId="1" applyFont="1" applyFill="1" applyBorder="1" applyAlignment="1">
      <alignment horizontal="center" vertical="center" wrapText="1"/>
    </xf>
    <xf numFmtId="38" fontId="38" fillId="4" borderId="7" xfId="1" applyFont="1" applyFill="1" applyBorder="1" applyAlignment="1" applyProtection="1">
      <alignment horizontal="center" vertical="center" shrinkToFit="1"/>
      <protection locked="0"/>
    </xf>
    <xf numFmtId="38" fontId="38" fillId="4" borderId="8" xfId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4" fillId="7" borderId="36" xfId="0" applyFont="1" applyFill="1" applyBorder="1" applyAlignment="1">
      <alignment horizontal="center" vertical="center"/>
    </xf>
    <xf numFmtId="0" fontId="35" fillId="7" borderId="41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34" fillId="7" borderId="24" xfId="0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/>
    </xf>
    <xf numFmtId="0" fontId="12" fillId="0" borderId="31" xfId="0" applyFont="1" applyFill="1" applyBorder="1">
      <alignment vertical="center"/>
    </xf>
    <xf numFmtId="0" fontId="26" fillId="0" borderId="38" xfId="0" applyFont="1" applyFill="1" applyBorder="1">
      <alignment vertical="center"/>
    </xf>
    <xf numFmtId="0" fontId="24" fillId="5" borderId="32" xfId="0" applyFont="1" applyFill="1" applyBorder="1" applyAlignment="1">
      <alignment horizontal="center" vertical="center" wrapText="1"/>
    </xf>
    <xf numFmtId="0" fontId="24" fillId="5" borderId="33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34" fillId="7" borderId="35" xfId="0" applyFont="1" applyFill="1" applyBorder="1" applyAlignment="1">
      <alignment horizontal="center" vertical="center"/>
    </xf>
    <xf numFmtId="0" fontId="35" fillId="7" borderId="40" xfId="0" applyFont="1" applyFill="1" applyBorder="1" applyAlignment="1">
      <alignment horizontal="center" vertical="center"/>
    </xf>
    <xf numFmtId="0" fontId="34" fillId="7" borderId="45" xfId="0" applyFont="1" applyFill="1" applyBorder="1" applyAlignment="1">
      <alignment horizontal="center" vertical="center" wrapText="1"/>
    </xf>
    <xf numFmtId="0" fontId="34" fillId="7" borderId="4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34" fillId="7" borderId="37" xfId="0" applyFont="1" applyFill="1" applyBorder="1" applyAlignment="1">
      <alignment horizontal="center" vertical="center"/>
    </xf>
    <xf numFmtId="0" fontId="35" fillId="7" borderId="4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43" xfId="0" applyFont="1" applyFill="1" applyBorder="1" applyAlignment="1">
      <alignment horizontal="center" vertical="center" wrapText="1"/>
    </xf>
    <xf numFmtId="0" fontId="34" fillId="7" borderId="44" xfId="0" applyFont="1" applyFill="1" applyBorder="1" applyAlignment="1">
      <alignment horizontal="center" vertical="center" wrapText="1"/>
    </xf>
    <xf numFmtId="0" fontId="34" fillId="7" borderId="40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center" vertical="center"/>
    </xf>
    <xf numFmtId="0" fontId="35" fillId="7" borderId="40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18" fillId="7" borderId="46" xfId="0" applyFont="1" applyFill="1" applyBorder="1" applyAlignment="1">
      <alignment horizontal="center" vertical="center" wrapText="1"/>
    </xf>
    <xf numFmtId="0" fontId="25" fillId="7" borderId="47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25" fillId="7" borderId="42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5" fillId="7" borderId="5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25" fillId="7" borderId="51" xfId="0" applyFont="1" applyFill="1" applyBorder="1" applyAlignment="1">
      <alignment horizontal="center" vertical="center" wrapText="1"/>
    </xf>
    <xf numFmtId="0" fontId="25" fillId="7" borderId="52" xfId="0" applyFont="1" applyFill="1" applyBorder="1" applyAlignment="1">
      <alignment horizontal="center" vertical="center" wrapText="1"/>
    </xf>
    <xf numFmtId="0" fontId="25" fillId="7" borderId="5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5" borderId="56" xfId="0" applyFont="1" applyFill="1" applyBorder="1" applyAlignment="1">
      <alignment horizontal="center" vertical="center" wrapText="1"/>
    </xf>
    <xf numFmtId="0" fontId="35" fillId="7" borderId="42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5" borderId="31" xfId="0" applyFont="1" applyFill="1" applyBorder="1">
      <alignment vertical="center"/>
    </xf>
    <xf numFmtId="0" fontId="26" fillId="0" borderId="38" xfId="0" applyFont="1" applyBorder="1">
      <alignment vertical="center"/>
    </xf>
    <xf numFmtId="0" fontId="12" fillId="5" borderId="9" xfId="0" applyFont="1" applyFill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/>
    </xf>
    <xf numFmtId="0" fontId="30" fillId="7" borderId="42" xfId="0" applyFont="1" applyFill="1" applyBorder="1" applyAlignment="1">
      <alignment horizontal="center" vertical="center"/>
    </xf>
    <xf numFmtId="0" fontId="29" fillId="7" borderId="45" xfId="0" applyFont="1" applyFill="1" applyBorder="1" applyAlignment="1">
      <alignment horizontal="center" vertical="center" wrapText="1"/>
    </xf>
    <xf numFmtId="0" fontId="29" fillId="7" borderId="42" xfId="0" applyFont="1" applyFill="1" applyBorder="1" applyAlignment="1">
      <alignment horizontal="center" vertical="center" wrapText="1"/>
    </xf>
    <xf numFmtId="0" fontId="30" fillId="7" borderId="42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7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15" xfId="0" applyFont="1" applyFill="1" applyBorder="1" applyAlignment="1" applyProtection="1">
      <alignment horizontal="center" vertical="center" wrapText="1"/>
      <protection locked="0"/>
    </xf>
    <xf numFmtId="0" fontId="9" fillId="7" borderId="66" xfId="0" applyFont="1" applyFill="1" applyBorder="1" applyAlignment="1" applyProtection="1">
      <alignment horizontal="center" vertical="center" wrapText="1"/>
      <protection locked="0"/>
    </xf>
    <xf numFmtId="0" fontId="42" fillId="7" borderId="1" xfId="0" applyFont="1" applyFill="1" applyBorder="1" applyAlignment="1" applyProtection="1">
      <alignment horizontal="center" vertical="center" wrapText="1"/>
      <protection locked="0"/>
    </xf>
    <xf numFmtId="3" fontId="42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2" fillId="7" borderId="8" xfId="0" applyFont="1" applyFill="1" applyBorder="1" applyAlignment="1" applyProtection="1">
      <alignment horizontal="center" vertical="center" wrapText="1"/>
      <protection locked="0"/>
    </xf>
    <xf numFmtId="0" fontId="42" fillId="7" borderId="15" xfId="0" applyFont="1" applyFill="1" applyBorder="1" applyAlignment="1" applyProtection="1">
      <alignment horizontal="center" vertical="center" wrapText="1"/>
      <protection locked="0"/>
    </xf>
    <xf numFmtId="0" fontId="42" fillId="7" borderId="66" xfId="0" applyFont="1" applyFill="1" applyBorder="1" applyAlignment="1" applyProtection="1">
      <alignment horizontal="center" vertical="center" wrapText="1"/>
      <protection locked="0"/>
    </xf>
    <xf numFmtId="0" fontId="32" fillId="7" borderId="61" xfId="0" applyFont="1" applyFill="1" applyBorder="1" applyAlignment="1" applyProtection="1">
      <alignment horizontal="center" vertical="center" wrapText="1"/>
      <protection locked="0"/>
    </xf>
    <xf numFmtId="0" fontId="33" fillId="7" borderId="61" xfId="0" applyFont="1" applyFill="1" applyBorder="1" applyAlignment="1" applyProtection="1">
      <alignment horizontal="center" vertical="center" wrapText="1"/>
      <protection locked="0"/>
    </xf>
    <xf numFmtId="0" fontId="32" fillId="7" borderId="61" xfId="0" applyFont="1" applyFill="1" applyBorder="1" applyAlignment="1" applyProtection="1">
      <alignment horizontal="center" vertical="center" shrinkToFit="1"/>
      <protection locked="0"/>
    </xf>
    <xf numFmtId="0" fontId="33" fillId="7" borderId="61" xfId="0" applyFont="1" applyFill="1" applyBorder="1" applyAlignment="1" applyProtection="1">
      <alignment horizontal="center" vertical="center" shrinkToFit="1"/>
      <protection locked="0"/>
    </xf>
    <xf numFmtId="177" fontId="32" fillId="0" borderId="54" xfId="0" applyNumberFormat="1" applyFont="1" applyBorder="1" applyAlignment="1" applyProtection="1">
      <alignment horizontal="center" vertical="center"/>
    </xf>
    <xf numFmtId="177" fontId="32" fillId="0" borderId="56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</cellXfs>
  <cellStyles count="3">
    <cellStyle name="桁区切り" xfId="1" builtinId="6"/>
    <cellStyle name="桁区切り 2" xfId="2"/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156883</xdr:colOff>
      <xdr:row>4</xdr:row>
      <xdr:rowOff>201706</xdr:rowOff>
    </xdr:from>
    <xdr:to>
      <xdr:col>5</xdr:col>
      <xdr:colOff>649942</xdr:colOff>
      <xdr:row>8</xdr:row>
      <xdr:rowOff>224118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1ACE85A-7E4A-457F-98E3-BC9335273257}"/>
            </a:ext>
          </a:extLst>
        </xdr:cNvPr>
        <xdr:cNvSpPr/>
      </xdr:nvSpPr>
      <xdr:spPr>
        <a:xfrm>
          <a:off x="2409265" y="1143000"/>
          <a:ext cx="2017059" cy="963706"/>
        </a:xfrm>
        <a:prstGeom prst="wedgeRectCallout">
          <a:avLst>
            <a:gd name="adj1" fmla="val -64722"/>
            <a:gd name="adj2" fmla="val -3042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利用者名簿をもとに、入力してください。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色付き部分以外入力不要</a:t>
          </a:r>
        </a:p>
      </xdr:txBody>
    </xdr:sp>
    <xdr:clientData/>
  </xdr:twoCellAnchor>
  <xdr:twoCellAnchor>
    <xdr:from>
      <xdr:col>2</xdr:col>
      <xdr:colOff>470647</xdr:colOff>
      <xdr:row>12</xdr:row>
      <xdr:rowOff>96371</xdr:rowOff>
    </xdr:from>
    <xdr:to>
      <xdr:col>5</xdr:col>
      <xdr:colOff>174813</xdr:colOff>
      <xdr:row>17</xdr:row>
      <xdr:rowOff>100853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C03326C-6D38-4056-80DB-38C602305171}"/>
            </a:ext>
          </a:extLst>
        </xdr:cNvPr>
        <xdr:cNvSpPr/>
      </xdr:nvSpPr>
      <xdr:spPr>
        <a:xfrm>
          <a:off x="1882588" y="2920253"/>
          <a:ext cx="2068607" cy="1181100"/>
        </a:xfrm>
        <a:prstGeom prst="wedgeRectCallout">
          <a:avLst>
            <a:gd name="adj1" fmla="val 60834"/>
            <a:gd name="adj2" fmla="val -420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「事業報告書」のシートに入力した結果で、補助対象となる利用者の数が自動計算されます。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123825</xdr:rowOff>
    </xdr:from>
    <xdr:to>
      <xdr:col>10</xdr:col>
      <xdr:colOff>504824</xdr:colOff>
      <xdr:row>2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849078-261D-4FCD-B6E4-00533A7351C6}"/>
            </a:ext>
          </a:extLst>
        </xdr:cNvPr>
        <xdr:cNvSpPr/>
      </xdr:nvSpPr>
      <xdr:spPr>
        <a:xfrm>
          <a:off x="5076825" y="123825"/>
          <a:ext cx="1200149" cy="4667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rgbClr val="FF0000"/>
              </a:solidFill>
            </a:rPr>
            <a:t>自動計算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238125</xdr:rowOff>
    </xdr:from>
    <xdr:to>
      <xdr:col>3</xdr:col>
      <xdr:colOff>1495425</xdr:colOff>
      <xdr:row>17</xdr:row>
      <xdr:rowOff>19050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378A119-98B5-431F-B3CE-C592FF839BCA}"/>
            </a:ext>
          </a:extLst>
        </xdr:cNvPr>
        <xdr:cNvSpPr/>
      </xdr:nvSpPr>
      <xdr:spPr>
        <a:xfrm>
          <a:off x="1419225" y="4714875"/>
          <a:ext cx="2552700" cy="1190625"/>
        </a:xfrm>
        <a:prstGeom prst="wedgeRectCallout">
          <a:avLst>
            <a:gd name="adj1" fmla="val -12247"/>
            <a:gd name="adj2" fmla="val -771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支出した日付、補助区分、補助対象経費、支出金額を入力してください。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入力した結果が、「支出合計」のシートに反映されます。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369794</xdr:colOff>
      <xdr:row>17</xdr:row>
      <xdr:rowOff>224119</xdr:rowOff>
    </xdr:from>
    <xdr:to>
      <xdr:col>3</xdr:col>
      <xdr:colOff>3148853</xdr:colOff>
      <xdr:row>19</xdr:row>
      <xdr:rowOff>268943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D8511C3-526D-4134-8F6B-C26559667D26}"/>
            </a:ext>
          </a:extLst>
        </xdr:cNvPr>
        <xdr:cNvSpPr/>
      </xdr:nvSpPr>
      <xdr:spPr>
        <a:xfrm>
          <a:off x="3866029" y="5815854"/>
          <a:ext cx="2779059" cy="806824"/>
        </a:xfrm>
        <a:prstGeom prst="wedgeRectCallout">
          <a:avLst>
            <a:gd name="adj1" fmla="val -24957"/>
            <a:gd name="adj2" fmla="val -6516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決算額は、「支出合計」のシートから自動計算されますので、説明部分を入力してください。</a:t>
          </a:r>
        </a:p>
      </xdr:txBody>
    </xdr:sp>
    <xdr:clientData/>
  </xdr:twoCellAnchor>
  <xdr:twoCellAnchor>
    <xdr:from>
      <xdr:col>3</xdr:col>
      <xdr:colOff>661146</xdr:colOff>
      <xdr:row>3</xdr:row>
      <xdr:rowOff>33616</xdr:rowOff>
    </xdr:from>
    <xdr:to>
      <xdr:col>3</xdr:col>
      <xdr:colOff>2790264</xdr:colOff>
      <xdr:row>5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0C4F657-13B4-4F8B-A530-27B1AD92C59F}"/>
            </a:ext>
          </a:extLst>
        </xdr:cNvPr>
        <xdr:cNvSpPr>
          <a:spLocks noChangeArrowheads="1"/>
        </xdr:cNvSpPr>
      </xdr:nvSpPr>
      <xdr:spPr bwMode="auto">
        <a:xfrm>
          <a:off x="4157381" y="1008528"/>
          <a:ext cx="2129118" cy="481854"/>
        </a:xfrm>
        <a:prstGeom prst="wedgeRectCallout">
          <a:avLst>
            <a:gd name="adj1" fmla="val -80175"/>
            <a:gd name="adj2" fmla="val 49355"/>
          </a:avLst>
        </a:prstGeom>
        <a:solidFill>
          <a:sysClr val="window" lastClr="FFFFFF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44546A"/>
              </a:solidFill>
              <a:latin typeface="+mn-ea"/>
              <a:ea typeface="+mn-ea"/>
              <a:cs typeface="+mn-cs"/>
            </a:rPr>
            <a:t>市からの補助金は千円未満は切り捨てとなります。</a:t>
          </a:r>
          <a:endParaRPr lang="ja-JP" altLang="en-US" sz="1200" b="0" i="0" u="none" strike="noStrike" baseline="0">
            <a:solidFill>
              <a:srgbClr val="44546A"/>
            </a:solidFill>
            <a:latin typeface="+mn-ea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593912</xdr:colOff>
      <xdr:row>6</xdr:row>
      <xdr:rowOff>11206</xdr:rowOff>
    </xdr:from>
    <xdr:to>
      <xdr:col>3</xdr:col>
      <xdr:colOff>2477745</xdr:colOff>
      <xdr:row>9</xdr:row>
      <xdr:rowOff>42956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B4CA575B-C9F8-4759-830B-8DD374DBA55A}"/>
            </a:ext>
          </a:extLst>
        </xdr:cNvPr>
        <xdr:cNvSpPr>
          <a:spLocks noChangeArrowheads="1"/>
        </xdr:cNvSpPr>
      </xdr:nvSpPr>
      <xdr:spPr bwMode="auto">
        <a:xfrm>
          <a:off x="4090147" y="1882588"/>
          <a:ext cx="1883833" cy="1174750"/>
        </a:xfrm>
        <a:prstGeom prst="wedgeRectCallout">
          <a:avLst>
            <a:gd name="adj1" fmla="val -78946"/>
            <a:gd name="adj2" fmla="val -29305"/>
          </a:avLst>
        </a:prstGeom>
        <a:solidFill>
          <a:sysClr val="window" lastClr="FFFFFF"/>
        </a:solidFill>
        <a:ln w="9525">
          <a:solidFill>
            <a:srgbClr val="365F91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44546A"/>
              </a:solidFill>
              <a:latin typeface="+mn-ea"/>
              <a:ea typeface="+mn-ea"/>
              <a:cs typeface="Times New Roman"/>
            </a:rPr>
            <a:t>千円未満の分に充てた収入の名称（例えば、利用料やその他　等）と金額を記入してください。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1063255</xdr:colOff>
      <xdr:row>3</xdr:row>
      <xdr:rowOff>22152</xdr:rowOff>
    </xdr:from>
    <xdr:to>
      <xdr:col>5</xdr:col>
      <xdr:colOff>166133</xdr:colOff>
      <xdr:row>6</xdr:row>
      <xdr:rowOff>177209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767FE36-4BC7-4011-8F3A-FC92527F7692}"/>
            </a:ext>
          </a:extLst>
        </xdr:cNvPr>
        <xdr:cNvSpPr/>
      </xdr:nvSpPr>
      <xdr:spPr>
        <a:xfrm>
          <a:off x="1340145" y="708838"/>
          <a:ext cx="2403401" cy="1118633"/>
        </a:xfrm>
        <a:prstGeom prst="wedgeRectCallout">
          <a:avLst>
            <a:gd name="adj1" fmla="val 62162"/>
            <a:gd name="adj2" fmla="val -6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サービスを利用した日、曜日を入力し、サービスを利用した人に「○」を入力してください。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「○」は、記号の○です。</a:t>
          </a:r>
        </a:p>
      </xdr:txBody>
    </xdr:sp>
    <xdr:clientData/>
  </xdr:twoCellAnchor>
  <xdr:twoCellAnchor>
    <xdr:from>
      <xdr:col>2</xdr:col>
      <xdr:colOff>520552</xdr:colOff>
      <xdr:row>6</xdr:row>
      <xdr:rowOff>188285</xdr:rowOff>
    </xdr:from>
    <xdr:to>
      <xdr:col>5</xdr:col>
      <xdr:colOff>419364</xdr:colOff>
      <xdr:row>7</xdr:row>
      <xdr:rowOff>92253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AB7C82E-B30A-4087-88D8-49D2E6316846}"/>
            </a:ext>
          </a:extLst>
        </xdr:cNvPr>
        <xdr:cNvSpPr/>
      </xdr:nvSpPr>
      <xdr:spPr>
        <a:xfrm>
          <a:off x="2901802" y="1838547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517894</xdr:colOff>
      <xdr:row>9</xdr:row>
      <xdr:rowOff>307459</xdr:rowOff>
    </xdr:from>
    <xdr:to>
      <xdr:col>5</xdr:col>
      <xdr:colOff>416706</xdr:colOff>
      <xdr:row>10</xdr:row>
      <xdr:rowOff>311107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662580F-F435-4195-9921-02A63C6EF2AC}"/>
            </a:ext>
          </a:extLst>
        </xdr:cNvPr>
        <xdr:cNvSpPr/>
      </xdr:nvSpPr>
      <xdr:spPr>
        <a:xfrm>
          <a:off x="2899144" y="308743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5760</xdr:colOff>
      <xdr:row>8</xdr:row>
      <xdr:rowOff>16836</xdr:rowOff>
    </xdr:from>
    <xdr:to>
      <xdr:col>5</xdr:col>
      <xdr:colOff>447275</xdr:colOff>
      <xdr:row>8</xdr:row>
      <xdr:rowOff>330600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0BA6188-CE8D-4533-B85E-DAF1F82E739F}"/>
            </a:ext>
          </a:extLst>
        </xdr:cNvPr>
        <xdr:cNvSpPr/>
      </xdr:nvSpPr>
      <xdr:spPr>
        <a:xfrm>
          <a:off x="2929713" y="238701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523653</xdr:colOff>
      <xdr:row>12</xdr:row>
      <xdr:rowOff>368596</xdr:rowOff>
    </xdr:from>
    <xdr:to>
      <xdr:col>5</xdr:col>
      <xdr:colOff>422465</xdr:colOff>
      <xdr:row>13</xdr:row>
      <xdr:rowOff>272563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0FB37D4-BB1E-4D33-9985-67D197A2F8CC}"/>
            </a:ext>
          </a:extLst>
        </xdr:cNvPr>
        <xdr:cNvSpPr/>
      </xdr:nvSpPr>
      <xdr:spPr>
        <a:xfrm>
          <a:off x="2904903" y="4178596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11519</xdr:colOff>
      <xdr:row>14</xdr:row>
      <xdr:rowOff>11519</xdr:rowOff>
    </xdr:from>
    <xdr:to>
      <xdr:col>5</xdr:col>
      <xdr:colOff>453034</xdr:colOff>
      <xdr:row>14</xdr:row>
      <xdr:rowOff>325283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D02A403-99C6-4E9C-A1C7-8B6752AB995F}"/>
            </a:ext>
          </a:extLst>
        </xdr:cNvPr>
        <xdr:cNvSpPr/>
      </xdr:nvSpPr>
      <xdr:spPr>
        <a:xfrm>
          <a:off x="2935472" y="4541432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1927151</xdr:colOff>
      <xdr:row>8</xdr:row>
      <xdr:rowOff>121831</xdr:rowOff>
    </xdr:from>
    <xdr:to>
      <xdr:col>5</xdr:col>
      <xdr:colOff>243664</xdr:colOff>
      <xdr:row>10</xdr:row>
      <xdr:rowOff>66453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33AB3EE-93D4-403D-884B-3CAEF6529F7E}"/>
            </a:ext>
          </a:extLst>
        </xdr:cNvPr>
        <xdr:cNvSpPr/>
      </xdr:nvSpPr>
      <xdr:spPr>
        <a:xfrm>
          <a:off x="2204041" y="2492005"/>
          <a:ext cx="1617036" cy="664535"/>
        </a:xfrm>
        <a:prstGeom prst="wedgeRectCallout">
          <a:avLst>
            <a:gd name="adj1" fmla="val -65557"/>
            <a:gd name="adj2" fmla="val -333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利用者氏名等を入力してください。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215900</xdr:rowOff>
    </xdr:from>
    <xdr:to>
      <xdr:col>5</xdr:col>
      <xdr:colOff>434575</xdr:colOff>
      <xdr:row>7</xdr:row>
      <xdr:rowOff>123264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18389B8-CAB2-48E5-A4CD-176BA148B716}"/>
            </a:ext>
          </a:extLst>
        </xdr:cNvPr>
        <xdr:cNvSpPr/>
      </xdr:nvSpPr>
      <xdr:spPr>
        <a:xfrm>
          <a:off x="2933700" y="18923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533400</xdr:colOff>
      <xdr:row>8</xdr:row>
      <xdr:rowOff>12700</xdr:rowOff>
    </xdr:from>
    <xdr:to>
      <xdr:col>5</xdr:col>
      <xdr:colOff>421875</xdr:colOff>
      <xdr:row>8</xdr:row>
      <xdr:rowOff>326464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F958F08-0720-4BDA-9DD6-09B96C5592DB}"/>
            </a:ext>
          </a:extLst>
        </xdr:cNvPr>
        <xdr:cNvSpPr/>
      </xdr:nvSpPr>
      <xdr:spPr>
        <a:xfrm>
          <a:off x="2921000" y="24003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533400</xdr:colOff>
      <xdr:row>9</xdr:row>
      <xdr:rowOff>254000</xdr:rowOff>
    </xdr:from>
    <xdr:to>
      <xdr:col>5</xdr:col>
      <xdr:colOff>421875</xdr:colOff>
      <xdr:row>10</xdr:row>
      <xdr:rowOff>262964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A55898B-E8EE-4D48-8675-A940F9ECC06F}"/>
            </a:ext>
          </a:extLst>
        </xdr:cNvPr>
        <xdr:cNvSpPr/>
      </xdr:nvSpPr>
      <xdr:spPr>
        <a:xfrm>
          <a:off x="2921000" y="30480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622300</xdr:colOff>
      <xdr:row>3</xdr:row>
      <xdr:rowOff>139700</xdr:rowOff>
    </xdr:from>
    <xdr:to>
      <xdr:col>3</xdr:col>
      <xdr:colOff>371401</xdr:colOff>
      <xdr:row>6</xdr:row>
      <xdr:rowOff>267733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D40F6D6-47AC-4641-AFF7-8AC5D3696001}"/>
            </a:ext>
          </a:extLst>
        </xdr:cNvPr>
        <xdr:cNvSpPr/>
      </xdr:nvSpPr>
      <xdr:spPr>
        <a:xfrm>
          <a:off x="901700" y="825500"/>
          <a:ext cx="2403401" cy="1118633"/>
        </a:xfrm>
        <a:prstGeom prst="wedgeRectCallout">
          <a:avLst>
            <a:gd name="adj1" fmla="val 62162"/>
            <a:gd name="adj2" fmla="val -6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サービスを利用した日、曜日を入力し、サービスを利用した人に「○」を入力してください。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「○」は、記号の○です。</a:t>
          </a:r>
        </a:p>
      </xdr:txBody>
    </xdr:sp>
    <xdr:clientData/>
  </xdr:twoCellAnchor>
  <xdr:twoCellAnchor>
    <xdr:from>
      <xdr:col>1</xdr:col>
      <xdr:colOff>2019300</xdr:colOff>
      <xdr:row>8</xdr:row>
      <xdr:rowOff>292100</xdr:rowOff>
    </xdr:from>
    <xdr:to>
      <xdr:col>5</xdr:col>
      <xdr:colOff>321636</xdr:colOff>
      <xdr:row>10</xdr:row>
      <xdr:rowOff>245435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69D91FC-90B9-47BE-B7DF-DB94CEC6E62D}"/>
            </a:ext>
          </a:extLst>
        </xdr:cNvPr>
        <xdr:cNvSpPr/>
      </xdr:nvSpPr>
      <xdr:spPr>
        <a:xfrm>
          <a:off x="2298700" y="2679700"/>
          <a:ext cx="1617036" cy="664535"/>
        </a:xfrm>
        <a:prstGeom prst="wedgeRectCallout">
          <a:avLst>
            <a:gd name="adj1" fmla="val -65557"/>
            <a:gd name="adj2" fmla="val -333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利用者氏名等を入力してください。</a:t>
          </a:r>
        </a:p>
      </xdr:txBody>
    </xdr:sp>
    <xdr:clientData/>
  </xdr:twoCellAnchor>
  <xdr:twoCellAnchor>
    <xdr:from>
      <xdr:col>3</xdr:col>
      <xdr:colOff>0</xdr:colOff>
      <xdr:row>13</xdr:row>
      <xdr:rowOff>292100</xdr:rowOff>
    </xdr:from>
    <xdr:to>
      <xdr:col>5</xdr:col>
      <xdr:colOff>434575</xdr:colOff>
      <xdr:row>14</xdr:row>
      <xdr:rowOff>301064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31C92B0-9845-4098-86C3-402CE1BD71BA}"/>
            </a:ext>
          </a:extLst>
        </xdr:cNvPr>
        <xdr:cNvSpPr/>
      </xdr:nvSpPr>
      <xdr:spPr>
        <a:xfrm>
          <a:off x="2933700" y="45085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508000</xdr:colOff>
      <xdr:row>12</xdr:row>
      <xdr:rowOff>393700</xdr:rowOff>
    </xdr:from>
    <xdr:to>
      <xdr:col>5</xdr:col>
      <xdr:colOff>396475</xdr:colOff>
      <xdr:row>13</xdr:row>
      <xdr:rowOff>301064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B4E78A0C-A4B7-47EB-9EC3-5074D1728A4E}"/>
            </a:ext>
          </a:extLst>
        </xdr:cNvPr>
        <xdr:cNvSpPr/>
      </xdr:nvSpPr>
      <xdr:spPr>
        <a:xfrm>
          <a:off x="2895600" y="4203700"/>
          <a:ext cx="1094975" cy="31376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</xdr:row>
      <xdr:rowOff>76201</xdr:rowOff>
    </xdr:from>
    <xdr:to>
      <xdr:col>12</xdr:col>
      <xdr:colOff>561975</xdr:colOff>
      <xdr:row>7</xdr:row>
      <xdr:rowOff>152401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FAFA586-F242-4800-8989-48F6C87BCC3D}"/>
            </a:ext>
          </a:extLst>
        </xdr:cNvPr>
        <xdr:cNvSpPr/>
      </xdr:nvSpPr>
      <xdr:spPr>
        <a:xfrm>
          <a:off x="4457700" y="733426"/>
          <a:ext cx="2952750" cy="933450"/>
        </a:xfrm>
        <a:prstGeom prst="wedgeRectCallout">
          <a:avLst>
            <a:gd name="adj1" fmla="val -35288"/>
            <a:gd name="adj2" fmla="val -6682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対象経費を選択し、対象期間を入力すれば、支出明細のシートに入力された金額が自動計算されます。</a:t>
          </a:r>
        </a:p>
      </xdr:txBody>
    </xdr:sp>
    <xdr:clientData/>
  </xdr:twoCellAnchor>
  <xdr:twoCellAnchor>
    <xdr:from>
      <xdr:col>1</xdr:col>
      <xdr:colOff>209550</xdr:colOff>
      <xdr:row>16</xdr:row>
      <xdr:rowOff>57149</xdr:rowOff>
    </xdr:from>
    <xdr:to>
      <xdr:col>5</xdr:col>
      <xdr:colOff>438150</xdr:colOff>
      <xdr:row>20</xdr:row>
      <xdr:rowOff>180974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A8518F0-B505-4C15-84B1-1A70A858B678}"/>
            </a:ext>
          </a:extLst>
        </xdr:cNvPr>
        <xdr:cNvSpPr/>
      </xdr:nvSpPr>
      <xdr:spPr>
        <a:xfrm>
          <a:off x="790575" y="3648074"/>
          <a:ext cx="2552700" cy="1076325"/>
        </a:xfrm>
        <a:prstGeom prst="wedgeRectCallout">
          <a:avLst>
            <a:gd name="adj1" fmla="val 39991"/>
            <a:gd name="adj2" fmla="val -1086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人件費等の領収書がないものは、支払った方の氏名及び金額を入力し、押印をお願いします。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6</xdr:row>
      <xdr:rowOff>9526</xdr:rowOff>
    </xdr:from>
    <xdr:to>
      <xdr:col>8</xdr:col>
      <xdr:colOff>304800</xdr:colOff>
      <xdr:row>9</xdr:row>
      <xdr:rowOff>228601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A23DE17-EAB7-4274-99A3-988FE51C1927}"/>
            </a:ext>
          </a:extLst>
        </xdr:cNvPr>
        <xdr:cNvSpPr/>
      </xdr:nvSpPr>
      <xdr:spPr>
        <a:xfrm>
          <a:off x="2400300" y="1552576"/>
          <a:ext cx="2552700" cy="933450"/>
        </a:xfrm>
        <a:prstGeom prst="wedgeRectCallout">
          <a:avLst>
            <a:gd name="adj1" fmla="val 35140"/>
            <a:gd name="adj2" fmla="val -15049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対象経費を選択し、対象期間を入力すれば、その期間に支払った金額が自動計算されます。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85" zoomScaleNormal="85" workbookViewId="0">
      <selection activeCell="B3" sqref="B3"/>
    </sheetView>
  </sheetViews>
  <sheetFormatPr defaultRowHeight="18.75"/>
  <cols>
    <col min="1" max="1" width="3.875" customWidth="1"/>
    <col min="2" max="2" width="14.75" customWidth="1"/>
    <col min="3" max="4" width="11" bestFit="1" customWidth="1"/>
    <col min="7" max="7" width="18.25" customWidth="1"/>
    <col min="8" max="8" width="21.875" customWidth="1"/>
  </cols>
  <sheetData>
    <row r="1" spans="1:8">
      <c r="A1" t="s">
        <v>39</v>
      </c>
    </row>
    <row r="2" spans="1:8">
      <c r="A2" s="41"/>
      <c r="B2" s="40" t="s">
        <v>0</v>
      </c>
      <c r="C2" s="40" t="s">
        <v>25</v>
      </c>
      <c r="D2" s="40" t="s">
        <v>26</v>
      </c>
      <c r="F2" s="172" t="s">
        <v>35</v>
      </c>
      <c r="G2" s="172" t="s">
        <v>34</v>
      </c>
      <c r="H2" s="173" t="s">
        <v>36</v>
      </c>
    </row>
    <row r="3" spans="1:8">
      <c r="A3" s="1">
        <v>1</v>
      </c>
      <c r="B3" s="97" t="s">
        <v>136</v>
      </c>
      <c r="C3" s="98" t="s">
        <v>143</v>
      </c>
      <c r="D3" s="10" t="str">
        <f>IF(OR(C3="事業対象者",C3="要支援1", C3="要支援2"), "〇", "")</f>
        <v>〇</v>
      </c>
      <c r="F3" s="172"/>
      <c r="G3" s="172"/>
      <c r="H3" s="173"/>
    </row>
    <row r="4" spans="1:8" ht="18.75" customHeight="1">
      <c r="A4" s="1">
        <v>2</v>
      </c>
      <c r="B4" s="98" t="s">
        <v>137</v>
      </c>
      <c r="C4" s="98" t="s">
        <v>144</v>
      </c>
      <c r="D4" s="10" t="str">
        <f t="shared" ref="D4:D22" si="0">IF(OR(C4="事業対象者",C4="要支援1", C4="要支援2"), "〇", "")</f>
        <v>〇</v>
      </c>
      <c r="F4" s="172"/>
      <c r="G4" s="172"/>
      <c r="H4" s="173"/>
    </row>
    <row r="5" spans="1:8" ht="18.75" customHeight="1">
      <c r="A5" s="1">
        <v>3</v>
      </c>
      <c r="B5" s="98" t="s">
        <v>138</v>
      </c>
      <c r="C5" s="98" t="s">
        <v>144</v>
      </c>
      <c r="D5" s="10" t="str">
        <f t="shared" si="0"/>
        <v>〇</v>
      </c>
      <c r="F5" s="171" t="s">
        <v>27</v>
      </c>
      <c r="G5" s="12" t="s">
        <v>28</v>
      </c>
      <c r="H5" s="13" t="s">
        <v>29</v>
      </c>
    </row>
    <row r="6" spans="1:8" ht="18.75" customHeight="1">
      <c r="A6" s="1">
        <v>4</v>
      </c>
      <c r="B6" s="98" t="s">
        <v>139</v>
      </c>
      <c r="C6" s="98" t="s">
        <v>145</v>
      </c>
      <c r="D6" s="10" t="str">
        <f t="shared" si="0"/>
        <v>〇</v>
      </c>
      <c r="F6" s="171"/>
      <c r="G6" s="12" t="s">
        <v>30</v>
      </c>
      <c r="H6" s="13" t="s">
        <v>31</v>
      </c>
    </row>
    <row r="7" spans="1:8" ht="18.75" customHeight="1">
      <c r="A7" s="1">
        <v>5</v>
      </c>
      <c r="B7" s="98" t="s">
        <v>140</v>
      </c>
      <c r="C7" s="98" t="s">
        <v>144</v>
      </c>
      <c r="D7" s="10" t="str">
        <f t="shared" si="0"/>
        <v>〇</v>
      </c>
      <c r="F7" s="171"/>
      <c r="G7" s="12" t="s">
        <v>32</v>
      </c>
      <c r="H7" s="13" t="s">
        <v>33</v>
      </c>
    </row>
    <row r="8" spans="1:8">
      <c r="A8" s="1">
        <v>6</v>
      </c>
      <c r="B8" s="98" t="s">
        <v>141</v>
      </c>
      <c r="C8" s="98" t="s">
        <v>146</v>
      </c>
      <c r="D8" s="10" t="str">
        <f t="shared" si="0"/>
        <v/>
      </c>
      <c r="F8" s="15"/>
      <c r="G8" s="15"/>
      <c r="H8" s="16"/>
    </row>
    <row r="9" spans="1:8">
      <c r="A9" s="1">
        <v>7</v>
      </c>
      <c r="B9" s="98" t="s">
        <v>142</v>
      </c>
      <c r="C9" s="98" t="s">
        <v>146</v>
      </c>
      <c r="D9" s="10" t="str">
        <f t="shared" si="0"/>
        <v/>
      </c>
      <c r="F9" t="s">
        <v>55</v>
      </c>
    </row>
    <row r="10" spans="1:8">
      <c r="A10" s="1">
        <v>8</v>
      </c>
      <c r="B10" s="42"/>
      <c r="C10" s="42"/>
      <c r="D10" s="10" t="str">
        <f t="shared" si="0"/>
        <v/>
      </c>
      <c r="F10" s="41"/>
      <c r="G10" s="40" t="s">
        <v>37</v>
      </c>
      <c r="H10" s="40" t="s">
        <v>38</v>
      </c>
    </row>
    <row r="11" spans="1:8">
      <c r="A11" s="1">
        <v>9</v>
      </c>
      <c r="B11" s="42"/>
      <c r="C11" s="42"/>
      <c r="D11" s="10" t="str">
        <f t="shared" si="0"/>
        <v/>
      </c>
      <c r="F11" s="7" t="s">
        <v>40</v>
      </c>
      <c r="G11" s="43">
        <f>'事業報告書（4月～9月）'!AP27</f>
        <v>5</v>
      </c>
      <c r="H11" s="44">
        <f>IF(G11=0, 0, IF(G11&lt;=4, 3000, IF(G11&lt;=9, 6500, 11000)))</f>
        <v>6500</v>
      </c>
    </row>
    <row r="12" spans="1:8">
      <c r="A12" s="1">
        <v>10</v>
      </c>
      <c r="B12" s="42"/>
      <c r="C12" s="42"/>
      <c r="D12" s="10" t="str">
        <f t="shared" si="0"/>
        <v/>
      </c>
      <c r="F12" s="7" t="s">
        <v>41</v>
      </c>
      <c r="G12" s="43">
        <f>'事業報告書（4月～9月）'!AR27</f>
        <v>5</v>
      </c>
      <c r="H12" s="44">
        <f t="shared" ref="H12:H22" si="1">IF(G12=0, 0, IF(G12&lt;=4, 3000, IF(G12&lt;=9, 6500, 11000)))</f>
        <v>6500</v>
      </c>
    </row>
    <row r="13" spans="1:8">
      <c r="A13" s="1">
        <v>11</v>
      </c>
      <c r="B13" s="42"/>
      <c r="C13" s="42"/>
      <c r="D13" s="10" t="str">
        <f t="shared" si="0"/>
        <v/>
      </c>
      <c r="F13" s="7" t="s">
        <v>42</v>
      </c>
      <c r="G13" s="43">
        <f>'事業報告書（4月～9月）'!AT27</f>
        <v>4</v>
      </c>
      <c r="H13" s="44">
        <f t="shared" si="1"/>
        <v>3000</v>
      </c>
    </row>
    <row r="14" spans="1:8">
      <c r="A14" s="1">
        <v>12</v>
      </c>
      <c r="B14" s="42"/>
      <c r="C14" s="42"/>
      <c r="D14" s="10" t="str">
        <f t="shared" si="0"/>
        <v/>
      </c>
      <c r="F14" s="7" t="s">
        <v>43</v>
      </c>
      <c r="G14" s="43">
        <f>'事業報告書（4月～9月）'!AV27</f>
        <v>5</v>
      </c>
      <c r="H14" s="44">
        <f t="shared" si="1"/>
        <v>6500</v>
      </c>
    </row>
    <row r="15" spans="1:8">
      <c r="A15" s="1">
        <v>13</v>
      </c>
      <c r="B15" s="42"/>
      <c r="C15" s="42"/>
      <c r="D15" s="10" t="str">
        <f t="shared" si="0"/>
        <v/>
      </c>
      <c r="F15" s="7" t="s">
        <v>44</v>
      </c>
      <c r="G15" s="43">
        <f>'事業報告書（4月～9月）'!AX27</f>
        <v>5</v>
      </c>
      <c r="H15" s="44">
        <f t="shared" si="1"/>
        <v>6500</v>
      </c>
    </row>
    <row r="16" spans="1:8">
      <c r="A16" s="1">
        <v>14</v>
      </c>
      <c r="B16" s="42"/>
      <c r="C16" s="42"/>
      <c r="D16" s="10" t="str">
        <f t="shared" si="0"/>
        <v/>
      </c>
      <c r="F16" s="7" t="s">
        <v>45</v>
      </c>
      <c r="G16" s="43">
        <f>'事業報告書（4月～9月）'!AZ27</f>
        <v>5</v>
      </c>
      <c r="H16" s="44">
        <f t="shared" si="1"/>
        <v>6500</v>
      </c>
    </row>
    <row r="17" spans="1:8">
      <c r="A17" s="1">
        <v>15</v>
      </c>
      <c r="B17" s="42"/>
      <c r="C17" s="42"/>
      <c r="D17" s="10" t="str">
        <f t="shared" si="0"/>
        <v/>
      </c>
      <c r="F17" s="7" t="s">
        <v>46</v>
      </c>
      <c r="G17" s="43">
        <f>'事業報告書（10月～3月）'!AP27</f>
        <v>5</v>
      </c>
      <c r="H17" s="44">
        <f t="shared" si="1"/>
        <v>6500</v>
      </c>
    </row>
    <row r="18" spans="1:8">
      <c r="A18" s="1">
        <v>16</v>
      </c>
      <c r="B18" s="42"/>
      <c r="C18" s="42"/>
      <c r="D18" s="10" t="str">
        <f t="shared" si="0"/>
        <v/>
      </c>
      <c r="F18" s="7" t="s">
        <v>47</v>
      </c>
      <c r="G18" s="43">
        <f>'事業報告書（10月～3月）'!AR27</f>
        <v>5</v>
      </c>
      <c r="H18" s="44">
        <f t="shared" si="1"/>
        <v>6500</v>
      </c>
    </row>
    <row r="19" spans="1:8">
      <c r="A19" s="1">
        <v>17</v>
      </c>
      <c r="B19" s="42"/>
      <c r="C19" s="42"/>
      <c r="D19" s="10" t="str">
        <f t="shared" si="0"/>
        <v/>
      </c>
      <c r="F19" s="7" t="s">
        <v>48</v>
      </c>
      <c r="G19" s="43">
        <f>'事業報告書（10月～3月）'!AT27</f>
        <v>5</v>
      </c>
      <c r="H19" s="44">
        <f t="shared" si="1"/>
        <v>6500</v>
      </c>
    </row>
    <row r="20" spans="1:8">
      <c r="A20" s="1">
        <v>18</v>
      </c>
      <c r="B20" s="42"/>
      <c r="C20" s="42"/>
      <c r="D20" s="10" t="str">
        <f t="shared" si="0"/>
        <v/>
      </c>
      <c r="F20" s="7" t="s">
        <v>50</v>
      </c>
      <c r="G20" s="43">
        <f>'事業報告書（10月～3月）'!AV27</f>
        <v>5</v>
      </c>
      <c r="H20" s="44">
        <f t="shared" si="1"/>
        <v>6500</v>
      </c>
    </row>
    <row r="21" spans="1:8">
      <c r="A21" s="1">
        <v>19</v>
      </c>
      <c r="B21" s="42"/>
      <c r="C21" s="42"/>
      <c r="D21" s="10" t="str">
        <f t="shared" si="0"/>
        <v/>
      </c>
      <c r="F21" s="7" t="s">
        <v>52</v>
      </c>
      <c r="G21" s="43">
        <f>'事業報告書（10月～3月）'!AX27</f>
        <v>5</v>
      </c>
      <c r="H21" s="44">
        <f t="shared" si="1"/>
        <v>6500</v>
      </c>
    </row>
    <row r="22" spans="1:8">
      <c r="A22" s="1">
        <v>20</v>
      </c>
      <c r="B22" s="42"/>
      <c r="C22" s="42"/>
      <c r="D22" s="10" t="str">
        <f t="shared" si="0"/>
        <v/>
      </c>
      <c r="F22" s="7" t="s">
        <v>54</v>
      </c>
      <c r="G22" s="43">
        <f>'事業報告書（10月～3月）'!AZ27</f>
        <v>5</v>
      </c>
      <c r="H22" s="44">
        <f t="shared" si="1"/>
        <v>6500</v>
      </c>
    </row>
    <row r="23" spans="1:8">
      <c r="A23" s="14"/>
      <c r="D23" s="11">
        <f>COUNTIF(D3:D22,"〇")</f>
        <v>5</v>
      </c>
      <c r="G23" s="10" t="s">
        <v>188</v>
      </c>
      <c r="H23" s="44">
        <f>SUM(H11:H22)</f>
        <v>74500</v>
      </c>
    </row>
    <row r="24" spans="1:8">
      <c r="D24" s="9"/>
    </row>
    <row r="25" spans="1:8">
      <c r="F25" s="18" t="s">
        <v>80</v>
      </c>
      <c r="G25" s="170" t="s">
        <v>156</v>
      </c>
      <c r="H25" s="174"/>
    </row>
    <row r="26" spans="1:8" ht="6.75" customHeight="1"/>
    <row r="27" spans="1:8">
      <c r="F27" s="18" t="s">
        <v>166</v>
      </c>
      <c r="G27" s="169">
        <v>45748</v>
      </c>
      <c r="H27" s="170"/>
    </row>
  </sheetData>
  <sheetProtection algorithmName="SHA-512" hashValue="oVNpUa3hd3SOrzF+see7CU4g6aaR/khBpIiqnCQDddadQjKQ36F0ZY5irarCGFlg0LkrZTee6Yewv7Zx+Txt7A==" saltValue="S320mTsBlsJ7fXS7rFc4WQ==" spinCount="100000" sheet="1" objects="1" scenarios="1"/>
  <mergeCells count="6">
    <mergeCell ref="G27:H27"/>
    <mergeCell ref="F5:F7"/>
    <mergeCell ref="F2:F4"/>
    <mergeCell ref="G2:G4"/>
    <mergeCell ref="H2:H4"/>
    <mergeCell ref="G25:H25"/>
  </mergeCells>
  <phoneticPr fontId="1"/>
  <dataValidations count="1">
    <dataValidation type="list" allowBlank="1" showInputMessage="1" showErrorMessage="1" sqref="C3:C22">
      <formula1>"-,事業対象者,要支援1,要支援2"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zoomScaleNormal="100" workbookViewId="0">
      <selection activeCell="M8" sqref="M8"/>
    </sheetView>
  </sheetViews>
  <sheetFormatPr defaultRowHeight="18.75"/>
  <cols>
    <col min="1" max="1" width="10" customWidth="1"/>
    <col min="2" max="2" width="10" style="45" customWidth="1"/>
    <col min="3" max="3" width="1.875" style="45" customWidth="1"/>
    <col min="4" max="5" width="10" style="45" customWidth="1"/>
    <col min="6" max="6" width="1.875" style="45" customWidth="1"/>
    <col min="7" max="8" width="10" style="45" customWidth="1"/>
    <col min="9" max="9" width="2" style="45" customWidth="1"/>
    <col min="10" max="11" width="10" style="45" customWidth="1"/>
    <col min="12" max="12" width="9" style="45"/>
    <col min="13" max="13" width="7" customWidth="1"/>
    <col min="14" max="14" width="3.625" customWidth="1"/>
    <col min="15" max="15" width="4.375" customWidth="1"/>
    <col min="16" max="16" width="6.5" customWidth="1"/>
    <col min="17" max="17" width="3.625" customWidth="1"/>
  </cols>
  <sheetData>
    <row r="1" spans="1:17">
      <c r="A1" t="s">
        <v>60</v>
      </c>
    </row>
    <row r="2" spans="1:17">
      <c r="A2" s="63"/>
      <c r="B2" s="64"/>
      <c r="C2" s="64"/>
      <c r="D2" s="64"/>
      <c r="E2" s="64"/>
      <c r="F2" s="64"/>
      <c r="G2" s="67"/>
      <c r="H2" s="178"/>
      <c r="I2" s="178"/>
      <c r="J2" s="178"/>
      <c r="K2" s="178"/>
    </row>
    <row r="4" spans="1:17">
      <c r="B4" s="180" t="s">
        <v>78</v>
      </c>
      <c r="C4" s="180"/>
      <c r="D4" s="180"/>
      <c r="E4" s="182">
        <f>FLOOR(B8+E8+H8+K8, 1000)</f>
        <v>227000</v>
      </c>
      <c r="F4" s="183"/>
      <c r="G4" s="183"/>
      <c r="H4" s="183"/>
      <c r="I4" s="46"/>
      <c r="J4" s="46"/>
    </row>
    <row r="5" spans="1:17" ht="19.5">
      <c r="B5" s="181"/>
      <c r="C5" s="181"/>
      <c r="D5" s="181"/>
      <c r="E5" s="184"/>
      <c r="F5" s="184"/>
      <c r="G5" s="184"/>
      <c r="H5" s="184"/>
      <c r="I5" s="185" t="s">
        <v>79</v>
      </c>
      <c r="J5" s="185"/>
      <c r="M5" s="113"/>
      <c r="N5" s="113"/>
      <c r="O5" s="113"/>
      <c r="P5" s="113"/>
    </row>
    <row r="6" spans="1:17">
      <c r="M6" s="117" t="s">
        <v>184</v>
      </c>
      <c r="N6" s="111"/>
      <c r="O6" s="112"/>
      <c r="P6" s="111"/>
    </row>
    <row r="7" spans="1:17">
      <c r="A7" t="s">
        <v>5</v>
      </c>
      <c r="D7" s="45" t="s">
        <v>6</v>
      </c>
      <c r="G7" s="45" t="s">
        <v>7</v>
      </c>
      <c r="J7" s="45" t="s">
        <v>8</v>
      </c>
      <c r="M7" s="175" t="s">
        <v>185</v>
      </c>
      <c r="N7" s="176"/>
      <c r="O7" s="176"/>
      <c r="P7" s="176"/>
      <c r="Q7" s="177"/>
    </row>
    <row r="8" spans="1:17" ht="30.75" customHeight="1">
      <c r="A8" s="17" t="s">
        <v>78</v>
      </c>
      <c r="B8" s="48">
        <f>MIN(B26, 利用者名簿!H23)</f>
        <v>74500</v>
      </c>
      <c r="D8" s="47" t="s">
        <v>78</v>
      </c>
      <c r="E8" s="48">
        <f>MIN(E26, E11)</f>
        <v>15000</v>
      </c>
      <c r="G8" s="47" t="s">
        <v>78</v>
      </c>
      <c r="H8" s="48">
        <f>MIN(H26, H11)</f>
        <v>87984</v>
      </c>
      <c r="J8" s="47" t="s">
        <v>78</v>
      </c>
      <c r="K8" s="48">
        <f>MIN(K26, K11)</f>
        <v>50000</v>
      </c>
      <c r="M8" s="138">
        <v>2025</v>
      </c>
      <c r="N8" s="115" t="s">
        <v>182</v>
      </c>
      <c r="O8" s="114" t="s">
        <v>172</v>
      </c>
      <c r="P8" s="137">
        <v>2026</v>
      </c>
      <c r="Q8" s="116" t="s">
        <v>183</v>
      </c>
    </row>
    <row r="10" spans="1:17">
      <c r="A10" s="175" t="s">
        <v>38</v>
      </c>
      <c r="B10" s="177"/>
      <c r="D10" s="186" t="s">
        <v>38</v>
      </c>
      <c r="E10" s="187"/>
      <c r="G10" s="186" t="s">
        <v>38</v>
      </c>
      <c r="H10" s="187"/>
      <c r="J10" s="186" t="s">
        <v>38</v>
      </c>
      <c r="K10" s="187"/>
    </row>
    <row r="11" spans="1:17" ht="19.5" customHeight="1">
      <c r="A11" s="1" t="s">
        <v>62</v>
      </c>
      <c r="B11" s="10" t="s">
        <v>63</v>
      </c>
      <c r="D11" s="10" t="s">
        <v>61</v>
      </c>
      <c r="E11" s="44">
        <v>36000</v>
      </c>
      <c r="G11" s="10" t="s">
        <v>61</v>
      </c>
      <c r="H11" s="44">
        <v>300000</v>
      </c>
      <c r="J11" s="10" t="s">
        <v>110</v>
      </c>
      <c r="K11" s="44">
        <v>50000</v>
      </c>
    </row>
    <row r="13" spans="1:17" ht="22.5" customHeight="1">
      <c r="A13" s="6" t="s">
        <v>5</v>
      </c>
      <c r="B13" s="49" t="s">
        <v>57</v>
      </c>
      <c r="C13" s="50"/>
      <c r="D13" s="51" t="s">
        <v>6</v>
      </c>
      <c r="E13" s="52" t="s">
        <v>57</v>
      </c>
      <c r="F13" s="53"/>
      <c r="G13" s="51" t="s">
        <v>7</v>
      </c>
      <c r="H13" s="52" t="s">
        <v>58</v>
      </c>
      <c r="I13" s="53"/>
      <c r="J13" s="51" t="s">
        <v>8</v>
      </c>
      <c r="K13" s="52" t="s">
        <v>58</v>
      </c>
    </row>
    <row r="14" spans="1:17" ht="22.5" customHeight="1">
      <c r="A14" s="4" t="s">
        <v>40</v>
      </c>
      <c r="B14" s="44">
        <f>SUMIFS(支出明細!E:E,支出明細!C:C, "運営費", 支出明細!B:B, "&gt;=" &amp; DATE(M8, 4, 1), 支出明細!B:B, "&lt;=" &amp; DATE(M8, 4, 30))</f>
        <v>23800</v>
      </c>
      <c r="C14" s="54"/>
      <c r="D14" s="10" t="s">
        <v>40</v>
      </c>
      <c r="E14" s="44">
        <f>SUMIFS(支出明細!E:E,支出明細!C:C, "特定研修費", 支出明細!B:B, "&gt;=" &amp; DATE(M8, 4, 1), 支出明細!B:B, "&lt;=" &amp; DATE(M8, 4, 30))</f>
        <v>0</v>
      </c>
      <c r="F14" s="54"/>
      <c r="G14" s="10" t="s">
        <v>40</v>
      </c>
      <c r="H14" s="44">
        <f>SUMIFS(支出明細!E:E,支出明細!C:C, "送迎活動費", 支出明細!B:B, "&gt;=" &amp; DATE(M8, 4, 1), 支出明細!B:B, "&lt;=" &amp; DATE(M8, 4, 30))</f>
        <v>3456</v>
      </c>
      <c r="I14" s="54"/>
      <c r="J14" s="10" t="s">
        <v>40</v>
      </c>
      <c r="K14" s="44">
        <f>SUMIFS(支出明細!E:E,支出明細!C:C, "設立・更新費", 支出明細!B:B, "&gt;=" &amp; DATE(M8, 4, 1), 支出明細!B:B, "&lt;=" &amp; DATE(M8, 4, 30))</f>
        <v>50000</v>
      </c>
    </row>
    <row r="15" spans="1:17" ht="22.5" customHeight="1">
      <c r="A15" s="4" t="s">
        <v>41</v>
      </c>
      <c r="B15" s="44">
        <f>SUMIFS(支出明細!E:E,支出明細!C:C, "運営費", 支出明細!B:B, "&gt;=" &amp; DATE(M8, 5, 1), 支出明細!B:B, "&lt;=" &amp; DATE(M8, 5, 31))</f>
        <v>3700</v>
      </c>
      <c r="C15" s="54"/>
      <c r="D15" s="10" t="s">
        <v>41</v>
      </c>
      <c r="E15" s="44">
        <f>SUMIFS(支出明細!E:E,支出明細!C:C, "特定研修費", 支出明細!B:B, "&gt;=" &amp; DATE(M8, 5, 1), 支出明細!B:B, "&lt;=" &amp; DATE(M8, 5, 31))</f>
        <v>0</v>
      </c>
      <c r="F15" s="54"/>
      <c r="G15" s="10" t="s">
        <v>41</v>
      </c>
      <c r="H15" s="44">
        <f>SUMIFS(支出明細!E:E,支出明細!C:C, "送迎活動費", 支出明細!B:B, "&gt;=" &amp; DATE(M8, 5, 1), 支出明細!B:B, "&lt;=" &amp; DATE(M8, 5, 31))</f>
        <v>3456</v>
      </c>
      <c r="I15" s="54"/>
      <c r="J15" s="10" t="s">
        <v>41</v>
      </c>
      <c r="K15" s="44">
        <f>SUMIFS(支出明細!E:E,支出明細!C:C, "設立・更新費", 支出明細!B:B, "&gt;=" &amp; DATE(M8, 5, 1), 支出明細!B:B, "&lt;=" &amp; DATE(M8, 5, 31))</f>
        <v>0</v>
      </c>
    </row>
    <row r="16" spans="1:17" ht="22.5" customHeight="1">
      <c r="A16" s="4" t="s">
        <v>42</v>
      </c>
      <c r="B16" s="44">
        <f>SUMIFS(支出明細!E:E,支出明細!C:C, "運営費", 支出明細!B:B, "&gt;=" &amp; DATE(M8, 6, 1), 支出明細!B:B, "&lt;=" &amp; DATE(M8, 6, 30))</f>
        <v>3700</v>
      </c>
      <c r="C16" s="54"/>
      <c r="D16" s="10" t="s">
        <v>42</v>
      </c>
      <c r="E16" s="44">
        <f>SUMIFS(支出明細!E:E,支出明細!C:C, "特定研修費", 支出明細!B:B, "&gt;=" &amp; DATE(M8, 6, 1), 支出明細!B:B, "&lt;=" &amp; DATE(M8, 6, 30))</f>
        <v>0</v>
      </c>
      <c r="F16" s="54"/>
      <c r="G16" s="10" t="s">
        <v>42</v>
      </c>
      <c r="H16" s="44">
        <f>SUMIFS(支出明細!E:E,支出明細!C:C, "送迎活動費", 支出明細!B:B, "&gt;=" &amp; DATE(M8, 6, 1), 支出明細!B:B, "&lt;=" &amp; DATE(M8, 6, 30))</f>
        <v>3456</v>
      </c>
      <c r="I16" s="54"/>
      <c r="J16" s="10" t="s">
        <v>42</v>
      </c>
      <c r="K16" s="44">
        <f>SUMIFS(支出明細!E:E,支出明細!C:C, "設立・更新費", 支出明細!B:B, "&gt;=" &amp; DATE(M8, 6, 1), 支出明細!B:B, "&lt;=" &amp; DATE(M8, 6, 30))</f>
        <v>0</v>
      </c>
    </row>
    <row r="17" spans="1:11" ht="22.5" customHeight="1">
      <c r="A17" s="4" t="s">
        <v>43</v>
      </c>
      <c r="B17" s="44">
        <f>SUMIFS(支出明細!E:E,支出明細!C:C, "運営費", 支出明細!B:B, "&gt;=" &amp; DATE(M8, 7, 1), 支出明細!B:B, "&lt;=" &amp; DATE(M8, 7, 31))</f>
        <v>3700</v>
      </c>
      <c r="C17" s="54"/>
      <c r="D17" s="10" t="s">
        <v>43</v>
      </c>
      <c r="E17" s="44">
        <f>SUMIFS(支出明細!E:E,支出明細!C:C, "特定研修費", 支出明細!B:B, "&gt;=" &amp; DATE(M8, 7, 1), 支出明細!B:B, "&lt;=" &amp; DATE(M8, 7, 31))</f>
        <v>15000</v>
      </c>
      <c r="F17" s="54"/>
      <c r="G17" s="10" t="s">
        <v>43</v>
      </c>
      <c r="H17" s="44">
        <f>SUMIFS(支出明細!E:E,支出明細!C:C, "送迎活動費", 支出明細!B:B, "&gt;=" &amp; DATE(M8, 7, 1), 支出明細!B:B, "&lt;=" &amp; DATE(M8, 7, 31))</f>
        <v>3456</v>
      </c>
      <c r="I17" s="54"/>
      <c r="J17" s="10" t="s">
        <v>43</v>
      </c>
      <c r="K17" s="44">
        <f>SUMIFS(支出明細!E:E,支出明細!C:C, "設立・更新費", 支出明細!B:B, "&gt;=" &amp; DATE(M8, 7, 1), 支出明細!B:B, "&lt;=" &amp; DATE(M8, 7, 31))</f>
        <v>0</v>
      </c>
    </row>
    <row r="18" spans="1:11" ht="22.5" customHeight="1">
      <c r="A18" s="4" t="s">
        <v>44</v>
      </c>
      <c r="B18" s="44">
        <f>SUMIFS(支出明細!E:E,支出明細!C:C, "運営費", 支出明細!B:B, "&gt;=" &amp; DATE(M8, 8, 1), 支出明細!B:B, "&lt;=" &amp; DATE(M8, 8, 31))</f>
        <v>3700</v>
      </c>
      <c r="C18" s="54"/>
      <c r="D18" s="10" t="s">
        <v>44</v>
      </c>
      <c r="E18" s="44">
        <f>SUMIFS(支出明細!E:E,支出明細!C:C, "特定研修費", 支出明細!B:B, "&gt;=" &amp; DATE(M8, 8, 1), 支出明細!B:B, "&lt;=" &amp; DATE(M8, 8, 31))</f>
        <v>0</v>
      </c>
      <c r="F18" s="54"/>
      <c r="G18" s="10" t="s">
        <v>44</v>
      </c>
      <c r="H18" s="44">
        <f>SUMIFS(支出明細!E:E,支出明細!C:C, "送迎活動費", 支出明細!B:B, "&gt;=" &amp; DATE(M8, 8, 1), 支出明細!B:B, "&lt;=" &amp; DATE(M8, 8, 31))</f>
        <v>3456</v>
      </c>
      <c r="I18" s="54"/>
      <c r="J18" s="10" t="s">
        <v>44</v>
      </c>
      <c r="K18" s="44">
        <f>SUMIFS(支出明細!E:E,支出明細!C:C, "設立・更新費", 支出明細!B:B, "&gt;=" &amp; DATE(M8, 8, 1), 支出明細!B:B, "&lt;=" &amp; DATE(M8, 8, 31))</f>
        <v>0</v>
      </c>
    </row>
    <row r="19" spans="1:11" ht="22.5" customHeight="1">
      <c r="A19" s="4" t="s">
        <v>45</v>
      </c>
      <c r="B19" s="44">
        <f>SUMIFS(支出明細!E:E,支出明細!C:C, "運営費", 支出明細!B:B, "&gt;=" &amp; DATE(M8, 9, 1), 支出明細!B:B, "&lt;=" &amp; DATE(M8, 9, 30))</f>
        <v>3700</v>
      </c>
      <c r="C19" s="54"/>
      <c r="D19" s="10" t="s">
        <v>45</v>
      </c>
      <c r="E19" s="44">
        <f>SUMIFS(支出明細!E:E,支出明細!C:C, "特定研修費", 支出明細!B:B, "&gt;=" &amp; DATE(M8, 9, 1), 支出明細!B:B, "&lt;=" &amp; DATE(M8, 9, 30))</f>
        <v>0</v>
      </c>
      <c r="F19" s="54"/>
      <c r="G19" s="10" t="s">
        <v>45</v>
      </c>
      <c r="H19" s="44">
        <f>SUMIFS(支出明細!E:E,支出明細!C:C, "送迎活動費", 支出明細!B:B, "&gt;=" &amp; DATE(M8, 9, 1), 支出明細!B:B, "&lt;=" &amp; DATE(M8, 9, 30))</f>
        <v>49968</v>
      </c>
      <c r="I19" s="54"/>
      <c r="J19" s="10" t="s">
        <v>45</v>
      </c>
      <c r="K19" s="44">
        <f>SUMIFS(支出明細!E:E,支出明細!C:C, "設立・更新費", 支出明細!B:B, "&gt;=" &amp; DATE(M8, 9, 1), 支出明細!B:B, "&lt;=" &amp; DATE(M8, 9, 30))</f>
        <v>0</v>
      </c>
    </row>
    <row r="20" spans="1:11" ht="22.5" customHeight="1">
      <c r="A20" s="4" t="s">
        <v>46</v>
      </c>
      <c r="B20" s="44">
        <f>SUMIFS(支出明細!E:E,支出明細!C:C, "運営費", 支出明細!B:B, "&gt;=" &amp; DATE(M8, 10, 1), 支出明細!B:B, "&lt;=" &amp; DATE(M8, 10, 31))</f>
        <v>13700</v>
      </c>
      <c r="C20" s="54"/>
      <c r="D20" s="10" t="s">
        <v>46</v>
      </c>
      <c r="E20" s="44">
        <f>SUMIFS(支出明細!E:E,支出明細!C:C, "特定研修費", 支出明細!B:B, "&gt;=" &amp; DATE(M8, 10, 1), 支出明細!B:B, "&lt;=" &amp; DATE(M8, 10, 31))</f>
        <v>0</v>
      </c>
      <c r="F20" s="54"/>
      <c r="G20" s="10" t="s">
        <v>46</v>
      </c>
      <c r="H20" s="44">
        <f>SUMIFS(支出明細!E:E,支出明細!C:C, "送迎活動費", 支出明細!B:B, "&gt;=" &amp; DATE(M8, 10, 1), 支出明細!B:B, "&lt;=" &amp; DATE(M8, 10, 31))</f>
        <v>3456</v>
      </c>
      <c r="I20" s="54"/>
      <c r="J20" s="10" t="s">
        <v>46</v>
      </c>
      <c r="K20" s="44">
        <f>SUMIFS(支出明細!E:E,支出明細!C:C, "設立・更新費", 支出明細!B:B, "&gt;=" &amp; DATE(M8, 10, 1), 支出明細!B:B, "&lt;=" &amp; DATE(M8, 10, 31))</f>
        <v>0</v>
      </c>
    </row>
    <row r="21" spans="1:11" ht="22.5" customHeight="1">
      <c r="A21" s="4" t="s">
        <v>47</v>
      </c>
      <c r="B21" s="44">
        <f>SUMIFS(支出明細!E:E,支出明細!C:C, "運営費", 支出明細!B:B, "&gt;=" &amp; DATE(M8, 11, 1), 支出明細!B:B, "&lt;=" &amp; DATE(M8, 11, 30))</f>
        <v>3700</v>
      </c>
      <c r="C21" s="54"/>
      <c r="D21" s="10" t="s">
        <v>47</v>
      </c>
      <c r="E21" s="44">
        <f>SUMIFS(支出明細!E:E,支出明細!C:C, "特定研修費", 支出明細!B:B, "&gt;=" &amp; DATE(M8, 11, 1), 支出明細!B:B, "&lt;=" &amp; DATE(M8, 11, 30))</f>
        <v>0</v>
      </c>
      <c r="F21" s="54"/>
      <c r="G21" s="10" t="s">
        <v>47</v>
      </c>
      <c r="H21" s="44">
        <f>SUMIFS(支出明細!E:E,支出明細!C:C, "送迎活動費", 支出明細!B:B, "&gt;=" &amp; DATE(M8, 11, 1), 支出明細!B:B, "&lt;=" &amp; DATE(M8, 11, 30))</f>
        <v>3456</v>
      </c>
      <c r="I21" s="54"/>
      <c r="J21" s="10" t="s">
        <v>47</v>
      </c>
      <c r="K21" s="44">
        <f>SUMIFS(支出明細!E:E,支出明細!C:C, "設立・更新費", 支出明細!B:B, "&gt;=" &amp; DATE(M8, 11, 1), 支出明細!B:B, "&lt;=" &amp; DATE(M8, 11, 30))</f>
        <v>0</v>
      </c>
    </row>
    <row r="22" spans="1:11" ht="22.5" customHeight="1">
      <c r="A22" s="4" t="s">
        <v>48</v>
      </c>
      <c r="B22" s="44">
        <f>SUMIFS(支出明細!E:E,支出明細!C:C, "運営費", 支出明細!B:B, "&gt;=" &amp; DATE(M8, 12, 1), 支出明細!B:B, "&lt;=" &amp; DATE(M8, 12, 31))</f>
        <v>3700</v>
      </c>
      <c r="C22" s="54"/>
      <c r="D22" s="10" t="s">
        <v>48</v>
      </c>
      <c r="E22" s="44">
        <f>SUMIFS(支出明細!E:E,支出明細!C:C, "特定研修費", 支出明細!B:B, "&gt;=" &amp; DATE(M8, 12, 1), 支出明細!B:B, "&lt;=" &amp; DATE(M8, 12, 31))</f>
        <v>0</v>
      </c>
      <c r="F22" s="54"/>
      <c r="G22" s="10" t="s">
        <v>48</v>
      </c>
      <c r="H22" s="44">
        <f>SUMIFS(支出明細!E:E,支出明細!C:C, "送迎活動費", 支出明細!B:B, "&gt;=" &amp; DATE(M8, 12, 1), 支出明細!B:B, "&lt;=" &amp; DATE(M8, 12, 31))</f>
        <v>3456</v>
      </c>
      <c r="I22" s="54"/>
      <c r="J22" s="10" t="s">
        <v>48</v>
      </c>
      <c r="K22" s="44">
        <f>SUMIFS(支出明細!E:E,支出明細!C:C, "設立・更新費", 支出明細!B:B, "&gt;=" &amp; DATE(M8, 12, 1), 支出明細!B:B, "&lt;=" &amp; DATE(M8, 12, 31))</f>
        <v>0</v>
      </c>
    </row>
    <row r="23" spans="1:11" ht="22.5" customHeight="1">
      <c r="A23" s="4" t="s">
        <v>49</v>
      </c>
      <c r="B23" s="44">
        <f>SUMIFS(支出明細!E:E,支出明細!C:C, "運営費", 支出明細!B:B, "&gt;=" &amp; DATE(P8, 1, 1), 支出明細!B:B, "&lt;=" &amp; DATE(P8, 1, 31))</f>
        <v>3700</v>
      </c>
      <c r="C23" s="54"/>
      <c r="D23" s="10" t="s">
        <v>49</v>
      </c>
      <c r="E23" s="44">
        <f>SUMIFS(支出明細!E:E,支出明細!C:C, "特定研修費", 支出明細!B:B, "&gt;=" &amp; DATE(P8, 1, 1), 支出明細!B:B, "&lt;=" &amp; DATE(P8, 1, 31))</f>
        <v>0</v>
      </c>
      <c r="F23" s="54"/>
      <c r="G23" s="10" t="s">
        <v>49</v>
      </c>
      <c r="H23" s="44">
        <f>SUMIFS(支出明細!E:E,支出明細!C:C, "送迎活動費", 支出明細!B:B, "&gt;=" &amp; DATE(P8, 1, 1), 支出明細!B:B, "&lt;=" &amp; DATE(P8, 1, 31))</f>
        <v>3456</v>
      </c>
      <c r="I23" s="54"/>
      <c r="J23" s="10" t="s">
        <v>49</v>
      </c>
      <c r="K23" s="44">
        <f>SUMIFS(支出明細!E:E,支出明細!C:C, "設立・更新費", 支出明細!B:B, "&gt;=" &amp; DATE(P8, 1, 1), 支出明細!B:B, "&lt;=" &amp; DATE(P8, 1, 31))</f>
        <v>0</v>
      </c>
    </row>
    <row r="24" spans="1:11" ht="22.5" customHeight="1">
      <c r="A24" s="4" t="s">
        <v>51</v>
      </c>
      <c r="B24" s="44">
        <f>SUMIFS(支出明細!E:E,支出明細!C:C, "運営費", 支出明細!B:B, "&gt;=" &amp; DATE(P8, 2, 1), 支出明細!B:B, "&lt;=" &amp; DATE(P8, 2, 29))</f>
        <v>3700</v>
      </c>
      <c r="C24" s="54"/>
      <c r="D24" s="10" t="s">
        <v>51</v>
      </c>
      <c r="E24" s="44">
        <f>SUMIFS(支出明細!E:E,支出明細!C:C, "特定研修費", 支出明細!B:B, "&gt;=" &amp; DATE(P8, 2, 1), 支出明細!B:B, "&lt;=" &amp; DATE(P8, 2, 29))</f>
        <v>0</v>
      </c>
      <c r="F24" s="54"/>
      <c r="G24" s="10" t="s">
        <v>51</v>
      </c>
      <c r="H24" s="44">
        <f>SUMIFS(支出明細!E:E,支出明細!C:C, "送迎活動費", 支出明細!B:B, "&gt;=" &amp; DATE(P8, 2, 1), 支出明細!B:B, "&lt;=" &amp; DATE(P8, 2, 29))</f>
        <v>3456</v>
      </c>
      <c r="I24" s="54"/>
      <c r="J24" s="10" t="s">
        <v>51</v>
      </c>
      <c r="K24" s="44">
        <f>SUMIFS(支出明細!E:E,支出明細!C:C, "設立・更新費", 支出明細!B:B, "&gt;=" &amp; DATE(P8, 2, 1), 支出明細!B:B, "&lt;=" &amp; DATE(P8, 2, 29))</f>
        <v>0</v>
      </c>
    </row>
    <row r="25" spans="1:11" ht="22.5" customHeight="1">
      <c r="A25" s="4" t="s">
        <v>53</v>
      </c>
      <c r="B25" s="44">
        <f>SUMIFS(支出明細!E:E,支出明細!C:C, "運営費", 支出明細!B:B, "&gt;=" &amp; DATE(P8, 3, 1), 支出明細!B:B, "&lt;=" &amp; DATE(P8, 3, 31))</f>
        <v>3700</v>
      </c>
      <c r="C25" s="54"/>
      <c r="D25" s="10" t="s">
        <v>53</v>
      </c>
      <c r="E25" s="44">
        <f>SUMIFS(支出明細!E:E,支出明細!C:C, "特定研修費", 支出明細!B:B, "&gt;=" &amp; DATE(P8, 3, 1), 支出明細!B:B, "&lt;=" &amp; DATE(P8, 3, 31))</f>
        <v>0</v>
      </c>
      <c r="F25" s="54"/>
      <c r="G25" s="10" t="s">
        <v>53</v>
      </c>
      <c r="H25" s="44">
        <f>SUMIFS(支出明細!E:E,支出明細!C:C, "送迎活動費", 支出明細!B:B, "&gt;=" &amp; DATE(P8, 3, 1), 支出明細!B:B, "&lt;=" &amp; DATE(P8, 3, 31))</f>
        <v>3456</v>
      </c>
      <c r="I25" s="54"/>
      <c r="J25" s="10" t="s">
        <v>53</v>
      </c>
      <c r="K25" s="44">
        <f>SUMIFS(支出明細!E:E,支出明細!C:C, "設立・更新費", 支出明細!B:B, "&gt;=" &amp; DATE(P8, 3, 1), 支出明細!B:B, "&lt;=" &amp; DATE(P8, 3, 31))</f>
        <v>0</v>
      </c>
    </row>
    <row r="26" spans="1:11" ht="22.5" customHeight="1">
      <c r="A26" s="10" t="s">
        <v>59</v>
      </c>
      <c r="B26" s="44">
        <f>SUM(B14:B25)</f>
        <v>74500</v>
      </c>
      <c r="D26" s="10" t="s">
        <v>59</v>
      </c>
      <c r="E26" s="44">
        <f>SUM(E14:E25)</f>
        <v>15000</v>
      </c>
      <c r="G26" s="10" t="s">
        <v>59</v>
      </c>
      <c r="H26" s="44">
        <f>SUM(H14:H25)</f>
        <v>87984</v>
      </c>
      <c r="J26" s="10" t="s">
        <v>59</v>
      </c>
      <c r="K26" s="44">
        <f>SUM(K14:K25)</f>
        <v>50000</v>
      </c>
    </row>
    <row r="27" spans="1:11" ht="12" customHeight="1">
      <c r="A27" s="11"/>
      <c r="B27" s="55"/>
      <c r="D27" s="9"/>
      <c r="E27" s="55"/>
      <c r="G27" s="9"/>
      <c r="H27" s="55"/>
      <c r="J27" s="9"/>
      <c r="K27" s="55"/>
    </row>
    <row r="28" spans="1:11" ht="22.5" customHeight="1">
      <c r="A28" s="10" t="s">
        <v>72</v>
      </c>
      <c r="B28" s="10" t="s">
        <v>59</v>
      </c>
      <c r="G28" s="10" t="s">
        <v>72</v>
      </c>
      <c r="H28" s="10" t="s">
        <v>59</v>
      </c>
      <c r="J28" s="10" t="s">
        <v>72</v>
      </c>
      <c r="K28" s="10" t="s">
        <v>59</v>
      </c>
    </row>
    <row r="29" spans="1:11" ht="22.5" customHeight="1">
      <c r="A29" s="4" t="s">
        <v>64</v>
      </c>
      <c r="B29" s="44">
        <f>SUMIFS(支出明細!E:E,支出明細!D:D, "運営費(人件費）")</f>
        <v>8400</v>
      </c>
      <c r="G29" s="10" t="s">
        <v>73</v>
      </c>
      <c r="H29" s="44">
        <f>SUMIFS(支出明細!E:E,支出明細!D:D, "送迎活動費(車両賃借料)")</f>
        <v>24000</v>
      </c>
      <c r="J29" s="10" t="s">
        <v>76</v>
      </c>
      <c r="K29" s="44">
        <f>SUMIFS(支出明細!E:E,支出明細!D:D, "設立・更新費(備品購入費）")</f>
        <v>50000</v>
      </c>
    </row>
    <row r="30" spans="1:11" ht="22.5" customHeight="1">
      <c r="A30" s="4" t="s">
        <v>65</v>
      </c>
      <c r="B30" s="44">
        <f>SUMIFS(支出明細!E:E,支出明細!D:D, "運営費(通信費）")</f>
        <v>12000</v>
      </c>
      <c r="G30" s="10" t="s">
        <v>74</v>
      </c>
      <c r="H30" s="44">
        <f>SUMIFS(支出明細!E:E,支出明細!D:D, "送迎活動費(燃料費）")</f>
        <v>17472</v>
      </c>
      <c r="J30" s="10" t="s">
        <v>77</v>
      </c>
      <c r="K30" s="44">
        <f>SUMIFS(支出明細!E:E,支出明細!D:D, "設立・更新費(被服費）")</f>
        <v>0</v>
      </c>
    </row>
    <row r="31" spans="1:11" ht="22.5" customHeight="1">
      <c r="A31" s="4" t="s">
        <v>67</v>
      </c>
      <c r="B31" s="44">
        <f>SUMIFS(支出明細!E:E,支出明細!D:D, "運営費(保険料）")</f>
        <v>24000</v>
      </c>
      <c r="G31" s="10" t="s">
        <v>66</v>
      </c>
      <c r="H31" s="44">
        <f>SUMIFS(支出明細!E:E,支出明細!D:D, "送迎活動費(移動支援サービス専用自動車保険料）")</f>
        <v>0</v>
      </c>
      <c r="J31" s="10" t="s">
        <v>70</v>
      </c>
      <c r="K31" s="44">
        <f>SUMIFS(支出明細!E:E,支出明細!D:D, "設立・更新費(その他)")</f>
        <v>0</v>
      </c>
    </row>
    <row r="32" spans="1:11" ht="22.5" customHeight="1">
      <c r="A32" s="4" t="s">
        <v>68</v>
      </c>
      <c r="B32" s="44">
        <f>SUMIFS(支出明細!E:E,支出明細!D:D, "運営費(消耗品費）")</f>
        <v>30100</v>
      </c>
      <c r="G32" s="10" t="s">
        <v>75</v>
      </c>
      <c r="H32" s="44">
        <f>SUMIFS(支出明細!E:E,支出明細!D:D, "送迎活動費(修理費）")</f>
        <v>46512</v>
      </c>
    </row>
    <row r="33" spans="1:11">
      <c r="A33" s="4" t="s">
        <v>69</v>
      </c>
      <c r="B33" s="44">
        <f>SUMIFS(支出明細!E:E,支出明細!D:D, "運営費(印刷費）")</f>
        <v>0</v>
      </c>
      <c r="G33" s="10" t="s">
        <v>71</v>
      </c>
      <c r="H33" s="44">
        <f>SUMIFS(支出明細!E:E,支出明細!D:D, "送迎活動費(その他）")</f>
        <v>0</v>
      </c>
    </row>
    <row r="34" spans="1:11">
      <c r="A34" s="4" t="s">
        <v>71</v>
      </c>
      <c r="B34" s="44">
        <f>SUMIFS(支出明細!E:E,支出明細!D:D, "運営費(その他）")</f>
        <v>0</v>
      </c>
    </row>
    <row r="37" spans="1:11">
      <c r="G37" s="56" t="s">
        <v>80</v>
      </c>
      <c r="H37" s="179" t="str">
        <f>利用者名簿!G25</f>
        <v>●●●会</v>
      </c>
      <c r="I37" s="179"/>
      <c r="J37" s="179"/>
      <c r="K37" s="179"/>
    </row>
  </sheetData>
  <sheetProtection algorithmName="SHA-512" hashValue="1vQiyid3Ra7WBxH0E0Mlh2axyhHwg0PLu6NUxpUcNWTtdfUmxWo986OJJ9tmr0CM1l3RzgfP8NkWPexzooDI/A==" saltValue="N+GOgP6bWs2wj2SmVzaIFg==" spinCount="100000" sheet="1" objects="1" scenarios="1"/>
  <mergeCells count="10">
    <mergeCell ref="M7:Q7"/>
    <mergeCell ref="H2:K2"/>
    <mergeCell ref="H37:K37"/>
    <mergeCell ref="B4:D5"/>
    <mergeCell ref="E4:H5"/>
    <mergeCell ref="I5:J5"/>
    <mergeCell ref="A10:B10"/>
    <mergeCell ref="D10:E10"/>
    <mergeCell ref="G10:H10"/>
    <mergeCell ref="J10:K10"/>
  </mergeCells>
  <phoneticPr fontId="1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zoomScaleNormal="100" workbookViewId="0">
      <selection activeCell="B4" sqref="B4"/>
    </sheetView>
  </sheetViews>
  <sheetFormatPr defaultRowHeight="18.75"/>
  <cols>
    <col min="1" max="1" width="4.75" customWidth="1"/>
    <col min="2" max="3" width="13.875" customWidth="1"/>
    <col min="4" max="4" width="31.625" customWidth="1"/>
    <col min="5" max="5" width="19.75" customWidth="1"/>
    <col min="8" max="8" width="13" bestFit="1" customWidth="1"/>
  </cols>
  <sheetData>
    <row r="1" spans="1:5" ht="27.75" customHeight="1">
      <c r="A1" t="s">
        <v>56</v>
      </c>
      <c r="E1" s="108" t="str">
        <f>利用者名簿!G25</f>
        <v>●●●会</v>
      </c>
    </row>
    <row r="2" spans="1:5" ht="19.5" customHeight="1">
      <c r="A2" t="s">
        <v>111</v>
      </c>
      <c r="E2" s="8" t="s">
        <v>24</v>
      </c>
    </row>
    <row r="3" spans="1:5" ht="27.75" customHeight="1">
      <c r="A3" s="41"/>
      <c r="B3" s="40" t="s">
        <v>1</v>
      </c>
      <c r="C3" s="40" t="s">
        <v>2</v>
      </c>
      <c r="D3" s="40" t="s">
        <v>3</v>
      </c>
      <c r="E3" s="40" t="s">
        <v>4</v>
      </c>
    </row>
    <row r="4" spans="1:5" ht="27.75" customHeight="1">
      <c r="A4" s="1">
        <v>1</v>
      </c>
      <c r="B4" s="99">
        <v>45749</v>
      </c>
      <c r="C4" s="100" t="s">
        <v>8</v>
      </c>
      <c r="D4" s="101" t="s">
        <v>21</v>
      </c>
      <c r="E4" s="102">
        <v>50000</v>
      </c>
    </row>
    <row r="5" spans="1:5" ht="27.75" customHeight="1">
      <c r="A5" s="1">
        <v>2</v>
      </c>
      <c r="B5" s="99">
        <v>45752</v>
      </c>
      <c r="C5" s="100" t="s">
        <v>5</v>
      </c>
      <c r="D5" s="101" t="s">
        <v>12</v>
      </c>
      <c r="E5" s="103">
        <v>20100</v>
      </c>
    </row>
    <row r="6" spans="1:5" ht="27.75" customHeight="1">
      <c r="A6" s="1">
        <v>3</v>
      </c>
      <c r="B6" s="99">
        <v>45777</v>
      </c>
      <c r="C6" s="100" t="s">
        <v>5</v>
      </c>
      <c r="D6" s="101" t="s">
        <v>10</v>
      </c>
      <c r="E6" s="103">
        <v>700</v>
      </c>
    </row>
    <row r="7" spans="1:5" ht="27.75" customHeight="1">
      <c r="A7" s="1">
        <v>4</v>
      </c>
      <c r="B7" s="99">
        <v>45777</v>
      </c>
      <c r="C7" s="100" t="s">
        <v>5</v>
      </c>
      <c r="D7" s="101" t="s">
        <v>9</v>
      </c>
      <c r="E7" s="102">
        <v>1000</v>
      </c>
    </row>
    <row r="8" spans="1:5" ht="27.75" customHeight="1">
      <c r="A8" s="1">
        <v>5</v>
      </c>
      <c r="B8" s="99">
        <v>45777</v>
      </c>
      <c r="C8" s="100" t="s">
        <v>5</v>
      </c>
      <c r="D8" s="101" t="s">
        <v>11</v>
      </c>
      <c r="E8" s="103">
        <v>2000</v>
      </c>
    </row>
    <row r="9" spans="1:5" ht="27.75" customHeight="1">
      <c r="A9" s="1">
        <v>6</v>
      </c>
      <c r="B9" s="99">
        <v>45777</v>
      </c>
      <c r="C9" s="100" t="s">
        <v>7</v>
      </c>
      <c r="D9" s="101" t="s">
        <v>16</v>
      </c>
      <c r="E9" s="103">
        <v>2000</v>
      </c>
    </row>
    <row r="10" spans="1:5" ht="27.75" customHeight="1">
      <c r="A10" s="1">
        <v>7</v>
      </c>
      <c r="B10" s="99">
        <v>45777</v>
      </c>
      <c r="C10" s="100" t="s">
        <v>7</v>
      </c>
      <c r="D10" s="101" t="s">
        <v>17</v>
      </c>
      <c r="E10" s="103">
        <v>1456</v>
      </c>
    </row>
    <row r="11" spans="1:5" ht="27.75" customHeight="1">
      <c r="A11" s="1">
        <v>8</v>
      </c>
      <c r="B11" s="99">
        <v>45808</v>
      </c>
      <c r="C11" s="100" t="s">
        <v>5</v>
      </c>
      <c r="D11" s="101" t="s">
        <v>10</v>
      </c>
      <c r="E11" s="103">
        <v>700</v>
      </c>
    </row>
    <row r="12" spans="1:5" ht="27.75" customHeight="1">
      <c r="A12" s="1">
        <v>9</v>
      </c>
      <c r="B12" s="99">
        <v>45808</v>
      </c>
      <c r="C12" s="100" t="s">
        <v>5</v>
      </c>
      <c r="D12" s="101" t="s">
        <v>9</v>
      </c>
      <c r="E12" s="103">
        <v>1000</v>
      </c>
    </row>
    <row r="13" spans="1:5" ht="27.75" customHeight="1">
      <c r="A13" s="1">
        <v>10</v>
      </c>
      <c r="B13" s="99">
        <v>45808</v>
      </c>
      <c r="C13" s="100" t="s">
        <v>5</v>
      </c>
      <c r="D13" s="101" t="s">
        <v>11</v>
      </c>
      <c r="E13" s="103">
        <v>2000</v>
      </c>
    </row>
    <row r="14" spans="1:5" ht="27.75" customHeight="1">
      <c r="A14" s="1">
        <v>11</v>
      </c>
      <c r="B14" s="99">
        <v>45808</v>
      </c>
      <c r="C14" s="100" t="s">
        <v>7</v>
      </c>
      <c r="D14" s="101" t="s">
        <v>16</v>
      </c>
      <c r="E14" s="103">
        <v>2000</v>
      </c>
    </row>
    <row r="15" spans="1:5" ht="27.75" customHeight="1">
      <c r="A15" s="1">
        <v>12</v>
      </c>
      <c r="B15" s="99">
        <v>45808</v>
      </c>
      <c r="C15" s="100" t="s">
        <v>7</v>
      </c>
      <c r="D15" s="101" t="s">
        <v>17</v>
      </c>
      <c r="E15" s="103">
        <v>1456</v>
      </c>
    </row>
    <row r="16" spans="1:5" ht="27.75" customHeight="1">
      <c r="A16" s="1">
        <v>13</v>
      </c>
      <c r="B16" s="99">
        <v>45838</v>
      </c>
      <c r="C16" s="100" t="s">
        <v>5</v>
      </c>
      <c r="D16" s="101" t="s">
        <v>10</v>
      </c>
      <c r="E16" s="103">
        <v>700</v>
      </c>
    </row>
    <row r="17" spans="1:5" ht="27.75" customHeight="1">
      <c r="A17" s="1">
        <v>14</v>
      </c>
      <c r="B17" s="99">
        <v>45838</v>
      </c>
      <c r="C17" s="100" t="s">
        <v>5</v>
      </c>
      <c r="D17" s="101" t="s">
        <v>9</v>
      </c>
      <c r="E17" s="103">
        <v>1000</v>
      </c>
    </row>
    <row r="18" spans="1:5" ht="27.75" customHeight="1">
      <c r="A18" s="1">
        <v>15</v>
      </c>
      <c r="B18" s="99">
        <v>45838</v>
      </c>
      <c r="C18" s="100" t="s">
        <v>5</v>
      </c>
      <c r="D18" s="101" t="s">
        <v>11</v>
      </c>
      <c r="E18" s="103">
        <v>2000</v>
      </c>
    </row>
    <row r="19" spans="1:5" ht="27.75" customHeight="1">
      <c r="A19" s="1">
        <v>16</v>
      </c>
      <c r="B19" s="99">
        <v>45838</v>
      </c>
      <c r="C19" s="100" t="s">
        <v>7</v>
      </c>
      <c r="D19" s="101" t="s">
        <v>16</v>
      </c>
      <c r="E19" s="103">
        <v>2000</v>
      </c>
    </row>
    <row r="20" spans="1:5" ht="27.75" customHeight="1">
      <c r="A20" s="1">
        <v>17</v>
      </c>
      <c r="B20" s="99">
        <v>45838</v>
      </c>
      <c r="C20" s="100" t="s">
        <v>7</v>
      </c>
      <c r="D20" s="101" t="s">
        <v>17</v>
      </c>
      <c r="E20" s="103">
        <v>1456</v>
      </c>
    </row>
    <row r="21" spans="1:5" ht="27.75" customHeight="1">
      <c r="A21" s="1">
        <v>18</v>
      </c>
      <c r="B21" s="99">
        <v>45857</v>
      </c>
      <c r="C21" s="100" t="s">
        <v>6</v>
      </c>
      <c r="D21" s="101" t="s">
        <v>15</v>
      </c>
      <c r="E21" s="103">
        <v>15000</v>
      </c>
    </row>
    <row r="22" spans="1:5" ht="27.75" customHeight="1">
      <c r="A22" s="1">
        <v>19</v>
      </c>
      <c r="B22" s="99">
        <v>45869</v>
      </c>
      <c r="C22" s="100" t="s">
        <v>5</v>
      </c>
      <c r="D22" s="101" t="s">
        <v>10</v>
      </c>
      <c r="E22" s="103">
        <v>700</v>
      </c>
    </row>
    <row r="23" spans="1:5" ht="27.75" customHeight="1">
      <c r="A23" s="1">
        <v>20</v>
      </c>
      <c r="B23" s="99">
        <v>45869</v>
      </c>
      <c r="C23" s="100" t="s">
        <v>5</v>
      </c>
      <c r="D23" s="101" t="s">
        <v>9</v>
      </c>
      <c r="E23" s="103">
        <v>1000</v>
      </c>
    </row>
    <row r="24" spans="1:5" ht="27.75" customHeight="1">
      <c r="A24" s="1">
        <v>21</v>
      </c>
      <c r="B24" s="99">
        <v>45869</v>
      </c>
      <c r="C24" s="100" t="s">
        <v>5</v>
      </c>
      <c r="D24" s="101" t="s">
        <v>11</v>
      </c>
      <c r="E24" s="103">
        <v>2000</v>
      </c>
    </row>
    <row r="25" spans="1:5" ht="27.75" customHeight="1">
      <c r="A25" s="1">
        <v>22</v>
      </c>
      <c r="B25" s="99">
        <v>45869</v>
      </c>
      <c r="C25" s="100" t="s">
        <v>7</v>
      </c>
      <c r="D25" s="101" t="s">
        <v>16</v>
      </c>
      <c r="E25" s="103">
        <v>2000</v>
      </c>
    </row>
    <row r="26" spans="1:5" ht="27.75" customHeight="1">
      <c r="A26" s="1">
        <v>23</v>
      </c>
      <c r="B26" s="99">
        <v>45869</v>
      </c>
      <c r="C26" s="100" t="s">
        <v>7</v>
      </c>
      <c r="D26" s="101" t="s">
        <v>17</v>
      </c>
      <c r="E26" s="103">
        <v>1456</v>
      </c>
    </row>
    <row r="27" spans="1:5" ht="27.75" customHeight="1">
      <c r="A27" s="1">
        <v>24</v>
      </c>
      <c r="B27" s="99">
        <v>45900</v>
      </c>
      <c r="C27" s="100" t="s">
        <v>5</v>
      </c>
      <c r="D27" s="101" t="s">
        <v>10</v>
      </c>
      <c r="E27" s="103">
        <v>700</v>
      </c>
    </row>
    <row r="28" spans="1:5" ht="27.75" customHeight="1">
      <c r="A28" s="1">
        <v>25</v>
      </c>
      <c r="B28" s="99">
        <v>45900</v>
      </c>
      <c r="C28" s="100" t="s">
        <v>5</v>
      </c>
      <c r="D28" s="101" t="s">
        <v>9</v>
      </c>
      <c r="E28" s="103">
        <v>1000</v>
      </c>
    </row>
    <row r="29" spans="1:5" ht="27.75" customHeight="1">
      <c r="A29" s="1">
        <v>26</v>
      </c>
      <c r="B29" s="99">
        <v>45900</v>
      </c>
      <c r="C29" s="100" t="s">
        <v>5</v>
      </c>
      <c r="D29" s="101" t="s">
        <v>11</v>
      </c>
      <c r="E29" s="103">
        <v>2000</v>
      </c>
    </row>
    <row r="30" spans="1:5" ht="27.75" customHeight="1">
      <c r="A30" s="1">
        <v>27</v>
      </c>
      <c r="B30" s="99">
        <v>45900</v>
      </c>
      <c r="C30" s="100" t="s">
        <v>7</v>
      </c>
      <c r="D30" s="101" t="s">
        <v>16</v>
      </c>
      <c r="E30" s="103">
        <v>2000</v>
      </c>
    </row>
    <row r="31" spans="1:5" ht="27.75" customHeight="1">
      <c r="A31" s="1">
        <v>28</v>
      </c>
      <c r="B31" s="99">
        <v>45900</v>
      </c>
      <c r="C31" s="100" t="s">
        <v>7</v>
      </c>
      <c r="D31" s="101" t="s">
        <v>17</v>
      </c>
      <c r="E31" s="103">
        <v>1456</v>
      </c>
    </row>
    <row r="32" spans="1:5" ht="27.75" customHeight="1">
      <c r="A32" s="1">
        <v>29</v>
      </c>
      <c r="B32" s="99">
        <v>45911</v>
      </c>
      <c r="C32" s="100" t="s">
        <v>7</v>
      </c>
      <c r="D32" s="101" t="s">
        <v>19</v>
      </c>
      <c r="E32" s="103">
        <v>46512</v>
      </c>
    </row>
    <row r="33" spans="1:5" ht="27.75" customHeight="1">
      <c r="A33" s="1">
        <v>30</v>
      </c>
      <c r="B33" s="99">
        <v>45930</v>
      </c>
      <c r="C33" s="100" t="s">
        <v>5</v>
      </c>
      <c r="D33" s="101" t="s">
        <v>10</v>
      </c>
      <c r="E33" s="103">
        <v>700</v>
      </c>
    </row>
    <row r="34" spans="1:5" ht="27.75" customHeight="1">
      <c r="A34" s="1">
        <v>31</v>
      </c>
      <c r="B34" s="99">
        <v>45930</v>
      </c>
      <c r="C34" s="100" t="s">
        <v>5</v>
      </c>
      <c r="D34" s="101" t="s">
        <v>9</v>
      </c>
      <c r="E34" s="103">
        <v>1000</v>
      </c>
    </row>
    <row r="35" spans="1:5" ht="27.75" customHeight="1">
      <c r="A35" s="1">
        <v>32</v>
      </c>
      <c r="B35" s="99">
        <v>45930</v>
      </c>
      <c r="C35" s="100" t="s">
        <v>5</v>
      </c>
      <c r="D35" s="101" t="s">
        <v>11</v>
      </c>
      <c r="E35" s="103">
        <v>2000</v>
      </c>
    </row>
    <row r="36" spans="1:5" ht="27.75" customHeight="1">
      <c r="A36" s="1">
        <v>33</v>
      </c>
      <c r="B36" s="99">
        <v>45930</v>
      </c>
      <c r="C36" s="100" t="s">
        <v>7</v>
      </c>
      <c r="D36" s="101" t="s">
        <v>16</v>
      </c>
      <c r="E36" s="103">
        <v>2000</v>
      </c>
    </row>
    <row r="37" spans="1:5" ht="27.75" customHeight="1">
      <c r="A37" s="1">
        <v>34</v>
      </c>
      <c r="B37" s="99">
        <v>45930</v>
      </c>
      <c r="C37" s="100" t="s">
        <v>7</v>
      </c>
      <c r="D37" s="101" t="s">
        <v>17</v>
      </c>
      <c r="E37" s="103">
        <v>1456</v>
      </c>
    </row>
    <row r="38" spans="1:5" ht="27.75" customHeight="1">
      <c r="A38" s="1">
        <v>35</v>
      </c>
      <c r="B38" s="99">
        <v>45943</v>
      </c>
      <c r="C38" s="100" t="s">
        <v>5</v>
      </c>
      <c r="D38" s="101" t="s">
        <v>12</v>
      </c>
      <c r="E38" s="103">
        <v>10000</v>
      </c>
    </row>
    <row r="39" spans="1:5" ht="27.75" customHeight="1">
      <c r="A39" s="1">
        <v>36</v>
      </c>
      <c r="B39" s="99">
        <v>45961</v>
      </c>
      <c r="C39" s="100" t="s">
        <v>5</v>
      </c>
      <c r="D39" s="101" t="s">
        <v>10</v>
      </c>
      <c r="E39" s="103">
        <v>700</v>
      </c>
    </row>
    <row r="40" spans="1:5" ht="27.75" customHeight="1">
      <c r="A40" s="1">
        <v>37</v>
      </c>
      <c r="B40" s="99">
        <v>45961</v>
      </c>
      <c r="C40" s="100" t="s">
        <v>5</v>
      </c>
      <c r="D40" s="101" t="s">
        <v>9</v>
      </c>
      <c r="E40" s="103">
        <v>1000</v>
      </c>
    </row>
    <row r="41" spans="1:5" ht="27.75" customHeight="1">
      <c r="A41" s="1">
        <v>38</v>
      </c>
      <c r="B41" s="99">
        <v>45961</v>
      </c>
      <c r="C41" s="100" t="s">
        <v>5</v>
      </c>
      <c r="D41" s="101" t="s">
        <v>11</v>
      </c>
      <c r="E41" s="103">
        <v>2000</v>
      </c>
    </row>
    <row r="42" spans="1:5" ht="27.75" customHeight="1">
      <c r="A42" s="1">
        <v>39</v>
      </c>
      <c r="B42" s="99">
        <v>45961</v>
      </c>
      <c r="C42" s="100" t="s">
        <v>7</v>
      </c>
      <c r="D42" s="101" t="s">
        <v>16</v>
      </c>
      <c r="E42" s="103">
        <v>2000</v>
      </c>
    </row>
    <row r="43" spans="1:5" ht="27.75" customHeight="1">
      <c r="A43" s="1">
        <v>40</v>
      </c>
      <c r="B43" s="99">
        <v>45961</v>
      </c>
      <c r="C43" s="100" t="s">
        <v>7</v>
      </c>
      <c r="D43" s="101" t="s">
        <v>17</v>
      </c>
      <c r="E43" s="103">
        <v>1456</v>
      </c>
    </row>
    <row r="44" spans="1:5" ht="27.75" customHeight="1">
      <c r="A44" s="1">
        <v>41</v>
      </c>
      <c r="B44" s="99">
        <v>45991</v>
      </c>
      <c r="C44" s="100" t="s">
        <v>5</v>
      </c>
      <c r="D44" s="101" t="s">
        <v>10</v>
      </c>
      <c r="E44" s="103">
        <v>700</v>
      </c>
    </row>
    <row r="45" spans="1:5" ht="27.75" customHeight="1">
      <c r="A45" s="1">
        <v>42</v>
      </c>
      <c r="B45" s="99">
        <v>45991</v>
      </c>
      <c r="C45" s="100" t="s">
        <v>5</v>
      </c>
      <c r="D45" s="101" t="s">
        <v>9</v>
      </c>
      <c r="E45" s="103">
        <v>1000</v>
      </c>
    </row>
    <row r="46" spans="1:5" ht="27.75" customHeight="1">
      <c r="A46" s="1">
        <v>43</v>
      </c>
      <c r="B46" s="99">
        <v>45991</v>
      </c>
      <c r="C46" s="100" t="s">
        <v>5</v>
      </c>
      <c r="D46" s="101" t="s">
        <v>11</v>
      </c>
      <c r="E46" s="103">
        <v>2000</v>
      </c>
    </row>
    <row r="47" spans="1:5" ht="27.75" customHeight="1">
      <c r="A47" s="1">
        <v>44</v>
      </c>
      <c r="B47" s="99">
        <v>45991</v>
      </c>
      <c r="C47" s="100" t="s">
        <v>7</v>
      </c>
      <c r="D47" s="101" t="s">
        <v>16</v>
      </c>
      <c r="E47" s="103">
        <v>2000</v>
      </c>
    </row>
    <row r="48" spans="1:5" ht="27.75" customHeight="1">
      <c r="A48" s="1">
        <v>45</v>
      </c>
      <c r="B48" s="99">
        <v>45991</v>
      </c>
      <c r="C48" s="100" t="s">
        <v>7</v>
      </c>
      <c r="D48" s="101" t="s">
        <v>17</v>
      </c>
      <c r="E48" s="103">
        <v>1456</v>
      </c>
    </row>
    <row r="49" spans="1:5" ht="27.75" customHeight="1">
      <c r="A49" s="1">
        <v>46</v>
      </c>
      <c r="B49" s="99">
        <v>46019</v>
      </c>
      <c r="C49" s="100" t="s">
        <v>5</v>
      </c>
      <c r="D49" s="101" t="s">
        <v>10</v>
      </c>
      <c r="E49" s="103">
        <v>700</v>
      </c>
    </row>
    <row r="50" spans="1:5" ht="27.75" customHeight="1">
      <c r="A50" s="1">
        <v>47</v>
      </c>
      <c r="B50" s="99">
        <v>46019</v>
      </c>
      <c r="C50" s="100" t="s">
        <v>5</v>
      </c>
      <c r="D50" s="101" t="s">
        <v>9</v>
      </c>
      <c r="E50" s="103">
        <v>1000</v>
      </c>
    </row>
    <row r="51" spans="1:5" ht="27.75" customHeight="1">
      <c r="A51" s="1">
        <v>48</v>
      </c>
      <c r="B51" s="99">
        <v>46019</v>
      </c>
      <c r="C51" s="100" t="s">
        <v>5</v>
      </c>
      <c r="D51" s="101" t="s">
        <v>11</v>
      </c>
      <c r="E51" s="103">
        <v>2000</v>
      </c>
    </row>
    <row r="52" spans="1:5" ht="27.75" customHeight="1">
      <c r="A52" s="1">
        <v>49</v>
      </c>
      <c r="B52" s="99">
        <v>46019</v>
      </c>
      <c r="C52" s="100" t="s">
        <v>7</v>
      </c>
      <c r="D52" s="101" t="s">
        <v>16</v>
      </c>
      <c r="E52" s="103">
        <v>2000</v>
      </c>
    </row>
    <row r="53" spans="1:5" ht="27.75" customHeight="1">
      <c r="A53" s="1">
        <v>50</v>
      </c>
      <c r="B53" s="99">
        <v>46019</v>
      </c>
      <c r="C53" s="100" t="s">
        <v>7</v>
      </c>
      <c r="D53" s="101" t="s">
        <v>17</v>
      </c>
      <c r="E53" s="103">
        <v>1456</v>
      </c>
    </row>
    <row r="54" spans="1:5" ht="27.75" customHeight="1">
      <c r="A54" s="1">
        <v>51</v>
      </c>
      <c r="B54" s="99">
        <v>46053</v>
      </c>
      <c r="C54" s="100" t="s">
        <v>5</v>
      </c>
      <c r="D54" s="101" t="s">
        <v>10</v>
      </c>
      <c r="E54" s="103">
        <v>700</v>
      </c>
    </row>
    <row r="55" spans="1:5" ht="27.75" customHeight="1">
      <c r="A55" s="1">
        <v>52</v>
      </c>
      <c r="B55" s="99">
        <v>46053</v>
      </c>
      <c r="C55" s="100" t="s">
        <v>5</v>
      </c>
      <c r="D55" s="101" t="s">
        <v>9</v>
      </c>
      <c r="E55" s="103">
        <v>1000</v>
      </c>
    </row>
    <row r="56" spans="1:5" ht="27.75" customHeight="1">
      <c r="A56" s="1">
        <v>53</v>
      </c>
      <c r="B56" s="99">
        <v>46053</v>
      </c>
      <c r="C56" s="100" t="s">
        <v>5</v>
      </c>
      <c r="D56" s="101" t="s">
        <v>11</v>
      </c>
      <c r="E56" s="103">
        <v>2000</v>
      </c>
    </row>
    <row r="57" spans="1:5" ht="27.75" customHeight="1">
      <c r="A57" s="1">
        <v>54</v>
      </c>
      <c r="B57" s="99">
        <v>46053</v>
      </c>
      <c r="C57" s="100" t="s">
        <v>7</v>
      </c>
      <c r="D57" s="101" t="s">
        <v>16</v>
      </c>
      <c r="E57" s="103">
        <v>2000</v>
      </c>
    </row>
    <row r="58" spans="1:5" ht="27.75" customHeight="1">
      <c r="A58" s="1">
        <v>55</v>
      </c>
      <c r="B58" s="99">
        <v>46053</v>
      </c>
      <c r="C58" s="100" t="s">
        <v>7</v>
      </c>
      <c r="D58" s="101" t="s">
        <v>17</v>
      </c>
      <c r="E58" s="103">
        <v>1456</v>
      </c>
    </row>
    <row r="59" spans="1:5" ht="27.75" customHeight="1">
      <c r="A59" s="1">
        <v>56</v>
      </c>
      <c r="B59" s="99">
        <v>46081</v>
      </c>
      <c r="C59" s="100" t="s">
        <v>5</v>
      </c>
      <c r="D59" s="101" t="s">
        <v>10</v>
      </c>
      <c r="E59" s="103">
        <v>700</v>
      </c>
    </row>
    <row r="60" spans="1:5" ht="27.75" customHeight="1">
      <c r="A60" s="1">
        <v>57</v>
      </c>
      <c r="B60" s="99">
        <v>46081</v>
      </c>
      <c r="C60" s="100" t="s">
        <v>5</v>
      </c>
      <c r="D60" s="101" t="s">
        <v>9</v>
      </c>
      <c r="E60" s="103">
        <v>1000</v>
      </c>
    </row>
    <row r="61" spans="1:5" ht="27.75" customHeight="1">
      <c r="A61" s="1">
        <v>58</v>
      </c>
      <c r="B61" s="99">
        <v>46081</v>
      </c>
      <c r="C61" s="100" t="s">
        <v>5</v>
      </c>
      <c r="D61" s="101" t="s">
        <v>11</v>
      </c>
      <c r="E61" s="103">
        <v>2000</v>
      </c>
    </row>
    <row r="62" spans="1:5" ht="27.75" customHeight="1">
      <c r="A62" s="1">
        <v>59</v>
      </c>
      <c r="B62" s="99">
        <v>46081</v>
      </c>
      <c r="C62" s="100" t="s">
        <v>7</v>
      </c>
      <c r="D62" s="101" t="s">
        <v>16</v>
      </c>
      <c r="E62" s="103">
        <v>2000</v>
      </c>
    </row>
    <row r="63" spans="1:5" ht="27.75" customHeight="1">
      <c r="A63" s="1">
        <v>60</v>
      </c>
      <c r="B63" s="99">
        <v>46081</v>
      </c>
      <c r="C63" s="100" t="s">
        <v>7</v>
      </c>
      <c r="D63" s="101" t="s">
        <v>17</v>
      </c>
      <c r="E63" s="103">
        <v>1456</v>
      </c>
    </row>
    <row r="64" spans="1:5" ht="27.75" customHeight="1">
      <c r="A64" s="1">
        <v>61</v>
      </c>
      <c r="B64" s="99">
        <v>46112</v>
      </c>
      <c r="C64" s="100" t="s">
        <v>5</v>
      </c>
      <c r="D64" s="101" t="s">
        <v>10</v>
      </c>
      <c r="E64" s="103">
        <v>700</v>
      </c>
    </row>
    <row r="65" spans="1:5" ht="27.75" customHeight="1">
      <c r="A65" s="1">
        <v>62</v>
      </c>
      <c r="B65" s="99">
        <v>46112</v>
      </c>
      <c r="C65" s="100" t="s">
        <v>5</v>
      </c>
      <c r="D65" s="101" t="s">
        <v>9</v>
      </c>
      <c r="E65" s="103">
        <v>1000</v>
      </c>
    </row>
    <row r="66" spans="1:5" ht="27.75" customHeight="1">
      <c r="A66" s="1">
        <v>63</v>
      </c>
      <c r="B66" s="99">
        <v>46112</v>
      </c>
      <c r="C66" s="100" t="s">
        <v>5</v>
      </c>
      <c r="D66" s="101" t="s">
        <v>11</v>
      </c>
      <c r="E66" s="103">
        <v>2000</v>
      </c>
    </row>
    <row r="67" spans="1:5" ht="27.75" customHeight="1">
      <c r="A67" s="1">
        <v>64</v>
      </c>
      <c r="B67" s="99">
        <v>46112</v>
      </c>
      <c r="C67" s="100" t="s">
        <v>7</v>
      </c>
      <c r="D67" s="101" t="s">
        <v>16</v>
      </c>
      <c r="E67" s="103">
        <v>2000</v>
      </c>
    </row>
    <row r="68" spans="1:5" ht="27.75" customHeight="1">
      <c r="A68" s="1">
        <v>65</v>
      </c>
      <c r="B68" s="99">
        <v>46112</v>
      </c>
      <c r="C68" s="100" t="s">
        <v>7</v>
      </c>
      <c r="D68" s="101" t="s">
        <v>17</v>
      </c>
      <c r="E68" s="103">
        <v>1456</v>
      </c>
    </row>
    <row r="69" spans="1:5" ht="27.75" customHeight="1">
      <c r="A69" s="1">
        <v>66</v>
      </c>
      <c r="B69" s="57"/>
      <c r="C69" s="58"/>
      <c r="D69" s="59"/>
      <c r="E69" s="60"/>
    </row>
    <row r="70" spans="1:5" ht="27.75" customHeight="1">
      <c r="A70" s="1">
        <v>67</v>
      </c>
      <c r="B70" s="57"/>
      <c r="C70" s="58"/>
      <c r="D70" s="59"/>
      <c r="E70" s="60"/>
    </row>
    <row r="71" spans="1:5" ht="27.75" customHeight="1">
      <c r="A71" s="1">
        <v>68</v>
      </c>
      <c r="B71" s="57"/>
      <c r="C71" s="58"/>
      <c r="D71" s="59"/>
      <c r="E71" s="60"/>
    </row>
    <row r="72" spans="1:5" ht="27.75" customHeight="1">
      <c r="A72" s="1">
        <v>69</v>
      </c>
      <c r="B72" s="57"/>
      <c r="C72" s="58"/>
      <c r="D72" s="59"/>
      <c r="E72" s="60"/>
    </row>
    <row r="73" spans="1:5" ht="27.75" customHeight="1">
      <c r="A73" s="1">
        <v>70</v>
      </c>
      <c r="B73" s="57"/>
      <c r="C73" s="58"/>
      <c r="D73" s="59"/>
      <c r="E73" s="60"/>
    </row>
    <row r="74" spans="1:5" ht="27.75" customHeight="1">
      <c r="A74" s="1">
        <v>71</v>
      </c>
      <c r="B74" s="57"/>
      <c r="C74" s="58"/>
      <c r="D74" s="59"/>
      <c r="E74" s="60"/>
    </row>
    <row r="75" spans="1:5" ht="27.75" customHeight="1">
      <c r="A75" s="1">
        <v>72</v>
      </c>
      <c r="B75" s="57"/>
      <c r="C75" s="58"/>
      <c r="D75" s="59"/>
      <c r="E75" s="60"/>
    </row>
    <row r="76" spans="1:5" ht="27.75" customHeight="1">
      <c r="A76" s="1">
        <v>73</v>
      </c>
      <c r="B76" s="57"/>
      <c r="C76" s="58"/>
      <c r="D76" s="59"/>
      <c r="E76" s="60"/>
    </row>
    <row r="77" spans="1:5" ht="27.75" customHeight="1">
      <c r="A77" s="1">
        <v>74</v>
      </c>
      <c r="B77" s="57"/>
      <c r="C77" s="58"/>
      <c r="D77" s="59"/>
      <c r="E77" s="60"/>
    </row>
    <row r="78" spans="1:5" ht="27.75" customHeight="1">
      <c r="A78" s="1">
        <v>75</v>
      </c>
      <c r="B78" s="57"/>
      <c r="C78" s="58"/>
      <c r="D78" s="59"/>
      <c r="E78" s="60"/>
    </row>
    <row r="79" spans="1:5" ht="27.75" customHeight="1">
      <c r="A79" s="1">
        <v>76</v>
      </c>
      <c r="B79" s="57"/>
      <c r="C79" s="58"/>
      <c r="D79" s="59"/>
      <c r="E79" s="60"/>
    </row>
    <row r="80" spans="1:5" ht="27.75" customHeight="1">
      <c r="A80" s="1">
        <v>77</v>
      </c>
      <c r="B80" s="57"/>
      <c r="C80" s="58"/>
      <c r="D80" s="59"/>
      <c r="E80" s="60"/>
    </row>
    <row r="81" spans="1:5" ht="27.75" customHeight="1">
      <c r="A81" s="1">
        <v>78</v>
      </c>
      <c r="B81" s="57"/>
      <c r="C81" s="58"/>
      <c r="D81" s="59"/>
      <c r="E81" s="60"/>
    </row>
    <row r="82" spans="1:5" ht="27.75" customHeight="1">
      <c r="A82" s="1">
        <v>79</v>
      </c>
      <c r="B82" s="57"/>
      <c r="C82" s="58"/>
      <c r="D82" s="59"/>
      <c r="E82" s="60"/>
    </row>
    <row r="83" spans="1:5" ht="27.75" customHeight="1">
      <c r="A83" s="1">
        <v>80</v>
      </c>
      <c r="B83" s="57"/>
      <c r="C83" s="58"/>
      <c r="D83" s="59"/>
      <c r="E83" s="60"/>
    </row>
    <row r="84" spans="1:5" ht="27.75" customHeight="1">
      <c r="A84" s="1">
        <v>81</v>
      </c>
      <c r="B84" s="57"/>
      <c r="C84" s="58"/>
      <c r="D84" s="59"/>
      <c r="E84" s="60"/>
    </row>
    <row r="85" spans="1:5" ht="27.75" customHeight="1">
      <c r="A85" s="1">
        <v>82</v>
      </c>
      <c r="B85" s="57"/>
      <c r="C85" s="58"/>
      <c r="D85" s="59"/>
      <c r="E85" s="60"/>
    </row>
    <row r="86" spans="1:5" ht="27.75" customHeight="1">
      <c r="A86" s="1">
        <v>83</v>
      </c>
      <c r="B86" s="57"/>
      <c r="C86" s="58"/>
      <c r="D86" s="59"/>
      <c r="E86" s="60"/>
    </row>
    <row r="87" spans="1:5" ht="27.75" customHeight="1">
      <c r="A87" s="1">
        <v>84</v>
      </c>
      <c r="B87" s="57"/>
      <c r="C87" s="58"/>
      <c r="D87" s="59"/>
      <c r="E87" s="60"/>
    </row>
    <row r="88" spans="1:5" ht="27.75" customHeight="1">
      <c r="A88" s="1">
        <v>85</v>
      </c>
      <c r="B88" s="57"/>
      <c r="C88" s="58"/>
      <c r="D88" s="59"/>
      <c r="E88" s="60"/>
    </row>
    <row r="89" spans="1:5" ht="27.75" customHeight="1">
      <c r="A89" s="1">
        <v>86</v>
      </c>
      <c r="B89" s="57"/>
      <c r="C89" s="58"/>
      <c r="D89" s="59"/>
      <c r="E89" s="60"/>
    </row>
    <row r="90" spans="1:5" ht="27.75" customHeight="1">
      <c r="A90" s="1">
        <v>87</v>
      </c>
      <c r="B90" s="57"/>
      <c r="C90" s="58"/>
      <c r="D90" s="59"/>
      <c r="E90" s="60"/>
    </row>
    <row r="91" spans="1:5" ht="27.75" customHeight="1">
      <c r="A91" s="1">
        <v>88</v>
      </c>
      <c r="B91" s="57"/>
      <c r="C91" s="58"/>
      <c r="D91" s="59"/>
      <c r="E91" s="60"/>
    </row>
    <row r="92" spans="1:5" ht="27.75" customHeight="1">
      <c r="A92" s="1">
        <v>89</v>
      </c>
      <c r="B92" s="57"/>
      <c r="C92" s="58"/>
      <c r="D92" s="59"/>
      <c r="E92" s="60"/>
    </row>
    <row r="93" spans="1:5" ht="27.75" customHeight="1">
      <c r="A93" s="1">
        <v>90</v>
      </c>
      <c r="B93" s="57"/>
      <c r="C93" s="58"/>
      <c r="D93" s="59"/>
      <c r="E93" s="60"/>
    </row>
    <row r="94" spans="1:5" ht="27.75" customHeight="1">
      <c r="A94" s="1">
        <v>91</v>
      </c>
      <c r="B94" s="57"/>
      <c r="C94" s="58"/>
      <c r="D94" s="59"/>
      <c r="E94" s="60"/>
    </row>
    <row r="95" spans="1:5" ht="27.75" customHeight="1">
      <c r="A95" s="1">
        <v>92</v>
      </c>
      <c r="B95" s="57"/>
      <c r="C95" s="58"/>
      <c r="D95" s="59"/>
      <c r="E95" s="60"/>
    </row>
    <row r="96" spans="1:5" ht="27.75" customHeight="1">
      <c r="A96" s="1">
        <v>93</v>
      </c>
      <c r="B96" s="57"/>
      <c r="C96" s="58"/>
      <c r="D96" s="59"/>
      <c r="E96" s="60"/>
    </row>
    <row r="97" spans="1:5" ht="27.75" customHeight="1">
      <c r="A97" s="1">
        <v>94</v>
      </c>
      <c r="B97" s="57"/>
      <c r="C97" s="58"/>
      <c r="D97" s="59"/>
      <c r="E97" s="60"/>
    </row>
    <row r="98" spans="1:5" ht="27.75" customHeight="1">
      <c r="A98" s="1">
        <v>95</v>
      </c>
      <c r="B98" s="57"/>
      <c r="C98" s="58"/>
      <c r="D98" s="59"/>
      <c r="E98" s="60"/>
    </row>
    <row r="99" spans="1:5" ht="27.75" customHeight="1">
      <c r="A99" s="1">
        <v>96</v>
      </c>
      <c r="B99" s="57"/>
      <c r="C99" s="58"/>
      <c r="D99" s="59"/>
      <c r="E99" s="60"/>
    </row>
    <row r="100" spans="1:5" ht="27.75" customHeight="1">
      <c r="A100" s="1">
        <v>97</v>
      </c>
      <c r="B100" s="57"/>
      <c r="C100" s="58"/>
      <c r="D100" s="59"/>
      <c r="E100" s="60"/>
    </row>
    <row r="101" spans="1:5" ht="27.75" customHeight="1">
      <c r="A101" s="1">
        <v>98</v>
      </c>
      <c r="B101" s="57"/>
      <c r="C101" s="58"/>
      <c r="D101" s="59"/>
      <c r="E101" s="60"/>
    </row>
    <row r="102" spans="1:5" ht="27.75" customHeight="1">
      <c r="A102" s="1">
        <v>99</v>
      </c>
      <c r="B102" s="61"/>
      <c r="C102" s="58"/>
      <c r="D102" s="62"/>
      <c r="E102" s="60"/>
    </row>
    <row r="103" spans="1:5" ht="27.75" customHeight="1">
      <c r="A103" s="1">
        <v>100</v>
      </c>
      <c r="B103" s="61"/>
      <c r="C103" s="58"/>
      <c r="D103" s="62"/>
      <c r="E103" s="60"/>
    </row>
    <row r="104" spans="1:5" ht="27.75" customHeight="1"/>
  </sheetData>
  <phoneticPr fontId="1"/>
  <pageMargins left="0.7" right="0.7" top="0.75" bottom="0.75" header="0.3" footer="0.3"/>
  <pageSetup paperSize="9" scale="90" orientation="portrait" r:id="rId1"/>
  <rowBreaks count="3" manualBreakCount="3">
    <brk id="28" max="16383" man="1"/>
    <brk id="53" max="16383" man="1"/>
    <brk id="7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Sheet1!$B$1:$B$15</xm:f>
          </x14:formula1>
          <xm:sqref>D4:D101</xm:sqref>
        </x14:dataValidation>
        <x14:dataValidation type="list" allowBlank="1" showInputMessage="1" showErrorMessage="1">
          <x14:formula1>
            <xm:f>Sheet1!$A$1:$A$4</xm:f>
          </x14:formula1>
          <xm:sqref>C4:C103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="85" zoomScaleNormal="85" workbookViewId="0">
      <selection activeCell="A7" sqref="A7:B7"/>
    </sheetView>
  </sheetViews>
  <sheetFormatPr defaultColWidth="8.125" defaultRowHeight="12"/>
  <cols>
    <col min="1" max="1" width="3.625" style="26" customWidth="1"/>
    <col min="2" max="2" width="19.25" style="26" customWidth="1"/>
    <col min="3" max="3" width="22.875" style="26" customWidth="1"/>
    <col min="4" max="4" width="55.125" style="26" customWidth="1"/>
    <col min="5" max="5" width="1.875" style="26" customWidth="1"/>
    <col min="6" max="6" width="2" style="26" customWidth="1"/>
    <col min="7" max="252" width="8.125" style="26"/>
    <col min="253" max="253" width="3.625" style="26" customWidth="1"/>
    <col min="254" max="254" width="10.75" style="26" customWidth="1"/>
    <col min="255" max="255" width="16.5" style="26" customWidth="1"/>
    <col min="256" max="256" width="13.625" style="26" customWidth="1"/>
    <col min="257" max="257" width="1.875" style="26" customWidth="1"/>
    <col min="258" max="258" width="3.625" style="26" customWidth="1"/>
    <col min="259" max="259" width="10.75" style="26" customWidth="1"/>
    <col min="260" max="260" width="16.5" style="26" customWidth="1"/>
    <col min="261" max="261" width="13.625" style="26" customWidth="1"/>
    <col min="262" max="262" width="2" style="26" customWidth="1"/>
    <col min="263" max="508" width="8.125" style="26"/>
    <col min="509" max="509" width="3.625" style="26" customWidth="1"/>
    <col min="510" max="510" width="10.75" style="26" customWidth="1"/>
    <col min="511" max="511" width="16.5" style="26" customWidth="1"/>
    <col min="512" max="512" width="13.625" style="26" customWidth="1"/>
    <col min="513" max="513" width="1.875" style="26" customWidth="1"/>
    <col min="514" max="514" width="3.625" style="26" customWidth="1"/>
    <col min="515" max="515" width="10.75" style="26" customWidth="1"/>
    <col min="516" max="516" width="16.5" style="26" customWidth="1"/>
    <col min="517" max="517" width="13.625" style="26" customWidth="1"/>
    <col min="518" max="518" width="2" style="26" customWidth="1"/>
    <col min="519" max="764" width="8.125" style="26"/>
    <col min="765" max="765" width="3.625" style="26" customWidth="1"/>
    <col min="766" max="766" width="10.75" style="26" customWidth="1"/>
    <col min="767" max="767" width="16.5" style="26" customWidth="1"/>
    <col min="768" max="768" width="13.625" style="26" customWidth="1"/>
    <col min="769" max="769" width="1.875" style="26" customWidth="1"/>
    <col min="770" max="770" width="3.625" style="26" customWidth="1"/>
    <col min="771" max="771" width="10.75" style="26" customWidth="1"/>
    <col min="772" max="772" width="16.5" style="26" customWidth="1"/>
    <col min="773" max="773" width="13.625" style="26" customWidth="1"/>
    <col min="774" max="774" width="2" style="26" customWidth="1"/>
    <col min="775" max="1020" width="8.125" style="26"/>
    <col min="1021" max="1021" width="3.625" style="26" customWidth="1"/>
    <col min="1022" max="1022" width="10.75" style="26" customWidth="1"/>
    <col min="1023" max="1023" width="16.5" style="26" customWidth="1"/>
    <col min="1024" max="1024" width="13.625" style="26" customWidth="1"/>
    <col min="1025" max="1025" width="1.875" style="26" customWidth="1"/>
    <col min="1026" max="1026" width="3.625" style="26" customWidth="1"/>
    <col min="1027" max="1027" width="10.75" style="26" customWidth="1"/>
    <col min="1028" max="1028" width="16.5" style="26" customWidth="1"/>
    <col min="1029" max="1029" width="13.625" style="26" customWidth="1"/>
    <col min="1030" max="1030" width="2" style="26" customWidth="1"/>
    <col min="1031" max="1276" width="8.125" style="26"/>
    <col min="1277" max="1277" width="3.625" style="26" customWidth="1"/>
    <col min="1278" max="1278" width="10.75" style="26" customWidth="1"/>
    <col min="1279" max="1279" width="16.5" style="26" customWidth="1"/>
    <col min="1280" max="1280" width="13.625" style="26" customWidth="1"/>
    <col min="1281" max="1281" width="1.875" style="26" customWidth="1"/>
    <col min="1282" max="1282" width="3.625" style="26" customWidth="1"/>
    <col min="1283" max="1283" width="10.75" style="26" customWidth="1"/>
    <col min="1284" max="1284" width="16.5" style="26" customWidth="1"/>
    <col min="1285" max="1285" width="13.625" style="26" customWidth="1"/>
    <col min="1286" max="1286" width="2" style="26" customWidth="1"/>
    <col min="1287" max="1532" width="8.125" style="26"/>
    <col min="1533" max="1533" width="3.625" style="26" customWidth="1"/>
    <col min="1534" max="1534" width="10.75" style="26" customWidth="1"/>
    <col min="1535" max="1535" width="16.5" style="26" customWidth="1"/>
    <col min="1536" max="1536" width="13.625" style="26" customWidth="1"/>
    <col min="1537" max="1537" width="1.875" style="26" customWidth="1"/>
    <col min="1538" max="1538" width="3.625" style="26" customWidth="1"/>
    <col min="1539" max="1539" width="10.75" style="26" customWidth="1"/>
    <col min="1540" max="1540" width="16.5" style="26" customWidth="1"/>
    <col min="1541" max="1541" width="13.625" style="26" customWidth="1"/>
    <col min="1542" max="1542" width="2" style="26" customWidth="1"/>
    <col min="1543" max="1788" width="8.125" style="26"/>
    <col min="1789" max="1789" width="3.625" style="26" customWidth="1"/>
    <col min="1790" max="1790" width="10.75" style="26" customWidth="1"/>
    <col min="1791" max="1791" width="16.5" style="26" customWidth="1"/>
    <col min="1792" max="1792" width="13.625" style="26" customWidth="1"/>
    <col min="1793" max="1793" width="1.875" style="26" customWidth="1"/>
    <col min="1794" max="1794" width="3.625" style="26" customWidth="1"/>
    <col min="1795" max="1795" width="10.75" style="26" customWidth="1"/>
    <col min="1796" max="1796" width="16.5" style="26" customWidth="1"/>
    <col min="1797" max="1797" width="13.625" style="26" customWidth="1"/>
    <col min="1798" max="1798" width="2" style="26" customWidth="1"/>
    <col min="1799" max="2044" width="8.125" style="26"/>
    <col min="2045" max="2045" width="3.625" style="26" customWidth="1"/>
    <col min="2046" max="2046" width="10.75" style="26" customWidth="1"/>
    <col min="2047" max="2047" width="16.5" style="26" customWidth="1"/>
    <col min="2048" max="2048" width="13.625" style="26" customWidth="1"/>
    <col min="2049" max="2049" width="1.875" style="26" customWidth="1"/>
    <col min="2050" max="2050" width="3.625" style="26" customWidth="1"/>
    <col min="2051" max="2051" width="10.75" style="26" customWidth="1"/>
    <col min="2052" max="2052" width="16.5" style="26" customWidth="1"/>
    <col min="2053" max="2053" width="13.625" style="26" customWidth="1"/>
    <col min="2054" max="2054" width="2" style="26" customWidth="1"/>
    <col min="2055" max="2300" width="8.125" style="26"/>
    <col min="2301" max="2301" width="3.625" style="26" customWidth="1"/>
    <col min="2302" max="2302" width="10.75" style="26" customWidth="1"/>
    <col min="2303" max="2303" width="16.5" style="26" customWidth="1"/>
    <col min="2304" max="2304" width="13.625" style="26" customWidth="1"/>
    <col min="2305" max="2305" width="1.875" style="26" customWidth="1"/>
    <col min="2306" max="2306" width="3.625" style="26" customWidth="1"/>
    <col min="2307" max="2307" width="10.75" style="26" customWidth="1"/>
    <col min="2308" max="2308" width="16.5" style="26" customWidth="1"/>
    <col min="2309" max="2309" width="13.625" style="26" customWidth="1"/>
    <col min="2310" max="2310" width="2" style="26" customWidth="1"/>
    <col min="2311" max="2556" width="8.125" style="26"/>
    <col min="2557" max="2557" width="3.625" style="26" customWidth="1"/>
    <col min="2558" max="2558" width="10.75" style="26" customWidth="1"/>
    <col min="2559" max="2559" width="16.5" style="26" customWidth="1"/>
    <col min="2560" max="2560" width="13.625" style="26" customWidth="1"/>
    <col min="2561" max="2561" width="1.875" style="26" customWidth="1"/>
    <col min="2562" max="2562" width="3.625" style="26" customWidth="1"/>
    <col min="2563" max="2563" width="10.75" style="26" customWidth="1"/>
    <col min="2564" max="2564" width="16.5" style="26" customWidth="1"/>
    <col min="2565" max="2565" width="13.625" style="26" customWidth="1"/>
    <col min="2566" max="2566" width="2" style="26" customWidth="1"/>
    <col min="2567" max="2812" width="8.125" style="26"/>
    <col min="2813" max="2813" width="3.625" style="26" customWidth="1"/>
    <col min="2814" max="2814" width="10.75" style="26" customWidth="1"/>
    <col min="2815" max="2815" width="16.5" style="26" customWidth="1"/>
    <col min="2816" max="2816" width="13.625" style="26" customWidth="1"/>
    <col min="2817" max="2817" width="1.875" style="26" customWidth="1"/>
    <col min="2818" max="2818" width="3.625" style="26" customWidth="1"/>
    <col min="2819" max="2819" width="10.75" style="26" customWidth="1"/>
    <col min="2820" max="2820" width="16.5" style="26" customWidth="1"/>
    <col min="2821" max="2821" width="13.625" style="26" customWidth="1"/>
    <col min="2822" max="2822" width="2" style="26" customWidth="1"/>
    <col min="2823" max="3068" width="8.125" style="26"/>
    <col min="3069" max="3069" width="3.625" style="26" customWidth="1"/>
    <col min="3070" max="3070" width="10.75" style="26" customWidth="1"/>
    <col min="3071" max="3071" width="16.5" style="26" customWidth="1"/>
    <col min="3072" max="3072" width="13.625" style="26" customWidth="1"/>
    <col min="3073" max="3073" width="1.875" style="26" customWidth="1"/>
    <col min="3074" max="3074" width="3.625" style="26" customWidth="1"/>
    <col min="3075" max="3075" width="10.75" style="26" customWidth="1"/>
    <col min="3076" max="3076" width="16.5" style="26" customWidth="1"/>
    <col min="3077" max="3077" width="13.625" style="26" customWidth="1"/>
    <col min="3078" max="3078" width="2" style="26" customWidth="1"/>
    <col min="3079" max="3324" width="8.125" style="26"/>
    <col min="3325" max="3325" width="3.625" style="26" customWidth="1"/>
    <col min="3326" max="3326" width="10.75" style="26" customWidth="1"/>
    <col min="3327" max="3327" width="16.5" style="26" customWidth="1"/>
    <col min="3328" max="3328" width="13.625" style="26" customWidth="1"/>
    <col min="3329" max="3329" width="1.875" style="26" customWidth="1"/>
    <col min="3330" max="3330" width="3.625" style="26" customWidth="1"/>
    <col min="3331" max="3331" width="10.75" style="26" customWidth="1"/>
    <col min="3332" max="3332" width="16.5" style="26" customWidth="1"/>
    <col min="3333" max="3333" width="13.625" style="26" customWidth="1"/>
    <col min="3334" max="3334" width="2" style="26" customWidth="1"/>
    <col min="3335" max="3580" width="8.125" style="26"/>
    <col min="3581" max="3581" width="3.625" style="26" customWidth="1"/>
    <col min="3582" max="3582" width="10.75" style="26" customWidth="1"/>
    <col min="3583" max="3583" width="16.5" style="26" customWidth="1"/>
    <col min="3584" max="3584" width="13.625" style="26" customWidth="1"/>
    <col min="3585" max="3585" width="1.875" style="26" customWidth="1"/>
    <col min="3586" max="3586" width="3.625" style="26" customWidth="1"/>
    <col min="3587" max="3587" width="10.75" style="26" customWidth="1"/>
    <col min="3588" max="3588" width="16.5" style="26" customWidth="1"/>
    <col min="3589" max="3589" width="13.625" style="26" customWidth="1"/>
    <col min="3590" max="3590" width="2" style="26" customWidth="1"/>
    <col min="3591" max="3836" width="8.125" style="26"/>
    <col min="3837" max="3837" width="3.625" style="26" customWidth="1"/>
    <col min="3838" max="3838" width="10.75" style="26" customWidth="1"/>
    <col min="3839" max="3839" width="16.5" style="26" customWidth="1"/>
    <col min="3840" max="3840" width="13.625" style="26" customWidth="1"/>
    <col min="3841" max="3841" width="1.875" style="26" customWidth="1"/>
    <col min="3842" max="3842" width="3.625" style="26" customWidth="1"/>
    <col min="3843" max="3843" width="10.75" style="26" customWidth="1"/>
    <col min="3844" max="3844" width="16.5" style="26" customWidth="1"/>
    <col min="3845" max="3845" width="13.625" style="26" customWidth="1"/>
    <col min="3846" max="3846" width="2" style="26" customWidth="1"/>
    <col min="3847" max="4092" width="8.125" style="26"/>
    <col min="4093" max="4093" width="3.625" style="26" customWidth="1"/>
    <col min="4094" max="4094" width="10.75" style="26" customWidth="1"/>
    <col min="4095" max="4095" width="16.5" style="26" customWidth="1"/>
    <col min="4096" max="4096" width="13.625" style="26" customWidth="1"/>
    <col min="4097" max="4097" width="1.875" style="26" customWidth="1"/>
    <col min="4098" max="4098" width="3.625" style="26" customWidth="1"/>
    <col min="4099" max="4099" width="10.75" style="26" customWidth="1"/>
    <col min="4100" max="4100" width="16.5" style="26" customWidth="1"/>
    <col min="4101" max="4101" width="13.625" style="26" customWidth="1"/>
    <col min="4102" max="4102" width="2" style="26" customWidth="1"/>
    <col min="4103" max="4348" width="8.125" style="26"/>
    <col min="4349" max="4349" width="3.625" style="26" customWidth="1"/>
    <col min="4350" max="4350" width="10.75" style="26" customWidth="1"/>
    <col min="4351" max="4351" width="16.5" style="26" customWidth="1"/>
    <col min="4352" max="4352" width="13.625" style="26" customWidth="1"/>
    <col min="4353" max="4353" width="1.875" style="26" customWidth="1"/>
    <col min="4354" max="4354" width="3.625" style="26" customWidth="1"/>
    <col min="4355" max="4355" width="10.75" style="26" customWidth="1"/>
    <col min="4356" max="4356" width="16.5" style="26" customWidth="1"/>
    <col min="4357" max="4357" width="13.625" style="26" customWidth="1"/>
    <col min="4358" max="4358" width="2" style="26" customWidth="1"/>
    <col min="4359" max="4604" width="8.125" style="26"/>
    <col min="4605" max="4605" width="3.625" style="26" customWidth="1"/>
    <col min="4606" max="4606" width="10.75" style="26" customWidth="1"/>
    <col min="4607" max="4607" width="16.5" style="26" customWidth="1"/>
    <col min="4608" max="4608" width="13.625" style="26" customWidth="1"/>
    <col min="4609" max="4609" width="1.875" style="26" customWidth="1"/>
    <col min="4610" max="4610" width="3.625" style="26" customWidth="1"/>
    <col min="4611" max="4611" width="10.75" style="26" customWidth="1"/>
    <col min="4612" max="4612" width="16.5" style="26" customWidth="1"/>
    <col min="4613" max="4613" width="13.625" style="26" customWidth="1"/>
    <col min="4614" max="4614" width="2" style="26" customWidth="1"/>
    <col min="4615" max="4860" width="8.125" style="26"/>
    <col min="4861" max="4861" width="3.625" style="26" customWidth="1"/>
    <col min="4862" max="4862" width="10.75" style="26" customWidth="1"/>
    <col min="4863" max="4863" width="16.5" style="26" customWidth="1"/>
    <col min="4864" max="4864" width="13.625" style="26" customWidth="1"/>
    <col min="4865" max="4865" width="1.875" style="26" customWidth="1"/>
    <col min="4866" max="4866" width="3.625" style="26" customWidth="1"/>
    <col min="4867" max="4867" width="10.75" style="26" customWidth="1"/>
    <col min="4868" max="4868" width="16.5" style="26" customWidth="1"/>
    <col min="4869" max="4869" width="13.625" style="26" customWidth="1"/>
    <col min="4870" max="4870" width="2" style="26" customWidth="1"/>
    <col min="4871" max="5116" width="8.125" style="26"/>
    <col min="5117" max="5117" width="3.625" style="26" customWidth="1"/>
    <col min="5118" max="5118" width="10.75" style="26" customWidth="1"/>
    <col min="5119" max="5119" width="16.5" style="26" customWidth="1"/>
    <col min="5120" max="5120" width="13.625" style="26" customWidth="1"/>
    <col min="5121" max="5121" width="1.875" style="26" customWidth="1"/>
    <col min="5122" max="5122" width="3.625" style="26" customWidth="1"/>
    <col min="5123" max="5123" width="10.75" style="26" customWidth="1"/>
    <col min="5124" max="5124" width="16.5" style="26" customWidth="1"/>
    <col min="5125" max="5125" width="13.625" style="26" customWidth="1"/>
    <col min="5126" max="5126" width="2" style="26" customWidth="1"/>
    <col min="5127" max="5372" width="8.125" style="26"/>
    <col min="5373" max="5373" width="3.625" style="26" customWidth="1"/>
    <col min="5374" max="5374" width="10.75" style="26" customWidth="1"/>
    <col min="5375" max="5375" width="16.5" style="26" customWidth="1"/>
    <col min="5376" max="5376" width="13.625" style="26" customWidth="1"/>
    <col min="5377" max="5377" width="1.875" style="26" customWidth="1"/>
    <col min="5378" max="5378" width="3.625" style="26" customWidth="1"/>
    <col min="5379" max="5379" width="10.75" style="26" customWidth="1"/>
    <col min="5380" max="5380" width="16.5" style="26" customWidth="1"/>
    <col min="5381" max="5381" width="13.625" style="26" customWidth="1"/>
    <col min="5382" max="5382" width="2" style="26" customWidth="1"/>
    <col min="5383" max="5628" width="8.125" style="26"/>
    <col min="5629" max="5629" width="3.625" style="26" customWidth="1"/>
    <col min="5630" max="5630" width="10.75" style="26" customWidth="1"/>
    <col min="5631" max="5631" width="16.5" style="26" customWidth="1"/>
    <col min="5632" max="5632" width="13.625" style="26" customWidth="1"/>
    <col min="5633" max="5633" width="1.875" style="26" customWidth="1"/>
    <col min="5634" max="5634" width="3.625" style="26" customWidth="1"/>
    <col min="5635" max="5635" width="10.75" style="26" customWidth="1"/>
    <col min="5636" max="5636" width="16.5" style="26" customWidth="1"/>
    <col min="5637" max="5637" width="13.625" style="26" customWidth="1"/>
    <col min="5638" max="5638" width="2" style="26" customWidth="1"/>
    <col min="5639" max="5884" width="8.125" style="26"/>
    <col min="5885" max="5885" width="3.625" style="26" customWidth="1"/>
    <col min="5886" max="5886" width="10.75" style="26" customWidth="1"/>
    <col min="5887" max="5887" width="16.5" style="26" customWidth="1"/>
    <col min="5888" max="5888" width="13.625" style="26" customWidth="1"/>
    <col min="5889" max="5889" width="1.875" style="26" customWidth="1"/>
    <col min="5890" max="5890" width="3.625" style="26" customWidth="1"/>
    <col min="5891" max="5891" width="10.75" style="26" customWidth="1"/>
    <col min="5892" max="5892" width="16.5" style="26" customWidth="1"/>
    <col min="5893" max="5893" width="13.625" style="26" customWidth="1"/>
    <col min="5894" max="5894" width="2" style="26" customWidth="1"/>
    <col min="5895" max="6140" width="8.125" style="26"/>
    <col min="6141" max="6141" width="3.625" style="26" customWidth="1"/>
    <col min="6142" max="6142" width="10.75" style="26" customWidth="1"/>
    <col min="6143" max="6143" width="16.5" style="26" customWidth="1"/>
    <col min="6144" max="6144" width="13.625" style="26" customWidth="1"/>
    <col min="6145" max="6145" width="1.875" style="26" customWidth="1"/>
    <col min="6146" max="6146" width="3.625" style="26" customWidth="1"/>
    <col min="6147" max="6147" width="10.75" style="26" customWidth="1"/>
    <col min="6148" max="6148" width="16.5" style="26" customWidth="1"/>
    <col min="6149" max="6149" width="13.625" style="26" customWidth="1"/>
    <col min="6150" max="6150" width="2" style="26" customWidth="1"/>
    <col min="6151" max="6396" width="8.125" style="26"/>
    <col min="6397" max="6397" width="3.625" style="26" customWidth="1"/>
    <col min="6398" max="6398" width="10.75" style="26" customWidth="1"/>
    <col min="6399" max="6399" width="16.5" style="26" customWidth="1"/>
    <col min="6400" max="6400" width="13.625" style="26" customWidth="1"/>
    <col min="6401" max="6401" width="1.875" style="26" customWidth="1"/>
    <col min="6402" max="6402" width="3.625" style="26" customWidth="1"/>
    <col min="6403" max="6403" width="10.75" style="26" customWidth="1"/>
    <col min="6404" max="6404" width="16.5" style="26" customWidth="1"/>
    <col min="6405" max="6405" width="13.625" style="26" customWidth="1"/>
    <col min="6406" max="6406" width="2" style="26" customWidth="1"/>
    <col min="6407" max="6652" width="8.125" style="26"/>
    <col min="6653" max="6653" width="3.625" style="26" customWidth="1"/>
    <col min="6654" max="6654" width="10.75" style="26" customWidth="1"/>
    <col min="6655" max="6655" width="16.5" style="26" customWidth="1"/>
    <col min="6656" max="6656" width="13.625" style="26" customWidth="1"/>
    <col min="6657" max="6657" width="1.875" style="26" customWidth="1"/>
    <col min="6658" max="6658" width="3.625" style="26" customWidth="1"/>
    <col min="6659" max="6659" width="10.75" style="26" customWidth="1"/>
    <col min="6660" max="6660" width="16.5" style="26" customWidth="1"/>
    <col min="6661" max="6661" width="13.625" style="26" customWidth="1"/>
    <col min="6662" max="6662" width="2" style="26" customWidth="1"/>
    <col min="6663" max="6908" width="8.125" style="26"/>
    <col min="6909" max="6909" width="3.625" style="26" customWidth="1"/>
    <col min="6910" max="6910" width="10.75" style="26" customWidth="1"/>
    <col min="6911" max="6911" width="16.5" style="26" customWidth="1"/>
    <col min="6912" max="6912" width="13.625" style="26" customWidth="1"/>
    <col min="6913" max="6913" width="1.875" style="26" customWidth="1"/>
    <col min="6914" max="6914" width="3.625" style="26" customWidth="1"/>
    <col min="6915" max="6915" width="10.75" style="26" customWidth="1"/>
    <col min="6916" max="6916" width="16.5" style="26" customWidth="1"/>
    <col min="6917" max="6917" width="13.625" style="26" customWidth="1"/>
    <col min="6918" max="6918" width="2" style="26" customWidth="1"/>
    <col min="6919" max="7164" width="8.125" style="26"/>
    <col min="7165" max="7165" width="3.625" style="26" customWidth="1"/>
    <col min="7166" max="7166" width="10.75" style="26" customWidth="1"/>
    <col min="7167" max="7167" width="16.5" style="26" customWidth="1"/>
    <col min="7168" max="7168" width="13.625" style="26" customWidth="1"/>
    <col min="7169" max="7169" width="1.875" style="26" customWidth="1"/>
    <col min="7170" max="7170" width="3.625" style="26" customWidth="1"/>
    <col min="7171" max="7171" width="10.75" style="26" customWidth="1"/>
    <col min="7172" max="7172" width="16.5" style="26" customWidth="1"/>
    <col min="7173" max="7173" width="13.625" style="26" customWidth="1"/>
    <col min="7174" max="7174" width="2" style="26" customWidth="1"/>
    <col min="7175" max="7420" width="8.125" style="26"/>
    <col min="7421" max="7421" width="3.625" style="26" customWidth="1"/>
    <col min="7422" max="7422" width="10.75" style="26" customWidth="1"/>
    <col min="7423" max="7423" width="16.5" style="26" customWidth="1"/>
    <col min="7424" max="7424" width="13.625" style="26" customWidth="1"/>
    <col min="7425" max="7425" width="1.875" style="26" customWidth="1"/>
    <col min="7426" max="7426" width="3.625" style="26" customWidth="1"/>
    <col min="7427" max="7427" width="10.75" style="26" customWidth="1"/>
    <col min="7428" max="7428" width="16.5" style="26" customWidth="1"/>
    <col min="7429" max="7429" width="13.625" style="26" customWidth="1"/>
    <col min="7430" max="7430" width="2" style="26" customWidth="1"/>
    <col min="7431" max="7676" width="8.125" style="26"/>
    <col min="7677" max="7677" width="3.625" style="26" customWidth="1"/>
    <col min="7678" max="7678" width="10.75" style="26" customWidth="1"/>
    <col min="7679" max="7679" width="16.5" style="26" customWidth="1"/>
    <col min="7680" max="7680" width="13.625" style="26" customWidth="1"/>
    <col min="7681" max="7681" width="1.875" style="26" customWidth="1"/>
    <col min="7682" max="7682" width="3.625" style="26" customWidth="1"/>
    <col min="7683" max="7683" width="10.75" style="26" customWidth="1"/>
    <col min="7684" max="7684" width="16.5" style="26" customWidth="1"/>
    <col min="7685" max="7685" width="13.625" style="26" customWidth="1"/>
    <col min="7686" max="7686" width="2" style="26" customWidth="1"/>
    <col min="7687" max="7932" width="8.125" style="26"/>
    <col min="7933" max="7933" width="3.625" style="26" customWidth="1"/>
    <col min="7934" max="7934" width="10.75" style="26" customWidth="1"/>
    <col min="7935" max="7935" width="16.5" style="26" customWidth="1"/>
    <col min="7936" max="7936" width="13.625" style="26" customWidth="1"/>
    <col min="7937" max="7937" width="1.875" style="26" customWidth="1"/>
    <col min="7938" max="7938" width="3.625" style="26" customWidth="1"/>
    <col min="7939" max="7939" width="10.75" style="26" customWidth="1"/>
    <col min="7940" max="7940" width="16.5" style="26" customWidth="1"/>
    <col min="7941" max="7941" width="13.625" style="26" customWidth="1"/>
    <col min="7942" max="7942" width="2" style="26" customWidth="1"/>
    <col min="7943" max="8188" width="8.125" style="26"/>
    <col min="8189" max="8189" width="3.625" style="26" customWidth="1"/>
    <col min="8190" max="8190" width="10.75" style="26" customWidth="1"/>
    <col min="8191" max="8191" width="16.5" style="26" customWidth="1"/>
    <col min="8192" max="8192" width="13.625" style="26" customWidth="1"/>
    <col min="8193" max="8193" width="1.875" style="26" customWidth="1"/>
    <col min="8194" max="8194" width="3.625" style="26" customWidth="1"/>
    <col min="8195" max="8195" width="10.75" style="26" customWidth="1"/>
    <col min="8196" max="8196" width="16.5" style="26" customWidth="1"/>
    <col min="8197" max="8197" width="13.625" style="26" customWidth="1"/>
    <col min="8198" max="8198" width="2" style="26" customWidth="1"/>
    <col min="8199" max="8444" width="8.125" style="26"/>
    <col min="8445" max="8445" width="3.625" style="26" customWidth="1"/>
    <col min="8446" max="8446" width="10.75" style="26" customWidth="1"/>
    <col min="8447" max="8447" width="16.5" style="26" customWidth="1"/>
    <col min="8448" max="8448" width="13.625" style="26" customWidth="1"/>
    <col min="8449" max="8449" width="1.875" style="26" customWidth="1"/>
    <col min="8450" max="8450" width="3.625" style="26" customWidth="1"/>
    <col min="8451" max="8451" width="10.75" style="26" customWidth="1"/>
    <col min="8452" max="8452" width="16.5" style="26" customWidth="1"/>
    <col min="8453" max="8453" width="13.625" style="26" customWidth="1"/>
    <col min="8454" max="8454" width="2" style="26" customWidth="1"/>
    <col min="8455" max="8700" width="8.125" style="26"/>
    <col min="8701" max="8701" width="3.625" style="26" customWidth="1"/>
    <col min="8702" max="8702" width="10.75" style="26" customWidth="1"/>
    <col min="8703" max="8703" width="16.5" style="26" customWidth="1"/>
    <col min="8704" max="8704" width="13.625" style="26" customWidth="1"/>
    <col min="8705" max="8705" width="1.875" style="26" customWidth="1"/>
    <col min="8706" max="8706" width="3.625" style="26" customWidth="1"/>
    <col min="8707" max="8707" width="10.75" style="26" customWidth="1"/>
    <col min="8708" max="8708" width="16.5" style="26" customWidth="1"/>
    <col min="8709" max="8709" width="13.625" style="26" customWidth="1"/>
    <col min="8710" max="8710" width="2" style="26" customWidth="1"/>
    <col min="8711" max="8956" width="8.125" style="26"/>
    <col min="8957" max="8957" width="3.625" style="26" customWidth="1"/>
    <col min="8958" max="8958" width="10.75" style="26" customWidth="1"/>
    <col min="8959" max="8959" width="16.5" style="26" customWidth="1"/>
    <col min="8960" max="8960" width="13.625" style="26" customWidth="1"/>
    <col min="8961" max="8961" width="1.875" style="26" customWidth="1"/>
    <col min="8962" max="8962" width="3.625" style="26" customWidth="1"/>
    <col min="8963" max="8963" width="10.75" style="26" customWidth="1"/>
    <col min="8964" max="8964" width="16.5" style="26" customWidth="1"/>
    <col min="8965" max="8965" width="13.625" style="26" customWidth="1"/>
    <col min="8966" max="8966" width="2" style="26" customWidth="1"/>
    <col min="8967" max="9212" width="8.125" style="26"/>
    <col min="9213" max="9213" width="3.625" style="26" customWidth="1"/>
    <col min="9214" max="9214" width="10.75" style="26" customWidth="1"/>
    <col min="9215" max="9215" width="16.5" style="26" customWidth="1"/>
    <col min="9216" max="9216" width="13.625" style="26" customWidth="1"/>
    <col min="9217" max="9217" width="1.875" style="26" customWidth="1"/>
    <col min="9218" max="9218" width="3.625" style="26" customWidth="1"/>
    <col min="9219" max="9219" width="10.75" style="26" customWidth="1"/>
    <col min="9220" max="9220" width="16.5" style="26" customWidth="1"/>
    <col min="9221" max="9221" width="13.625" style="26" customWidth="1"/>
    <col min="9222" max="9222" width="2" style="26" customWidth="1"/>
    <col min="9223" max="9468" width="8.125" style="26"/>
    <col min="9469" max="9469" width="3.625" style="26" customWidth="1"/>
    <col min="9470" max="9470" width="10.75" style="26" customWidth="1"/>
    <col min="9471" max="9471" width="16.5" style="26" customWidth="1"/>
    <col min="9472" max="9472" width="13.625" style="26" customWidth="1"/>
    <col min="9473" max="9473" width="1.875" style="26" customWidth="1"/>
    <col min="9474" max="9474" width="3.625" style="26" customWidth="1"/>
    <col min="9475" max="9475" width="10.75" style="26" customWidth="1"/>
    <col min="9476" max="9476" width="16.5" style="26" customWidth="1"/>
    <col min="9477" max="9477" width="13.625" style="26" customWidth="1"/>
    <col min="9478" max="9478" width="2" style="26" customWidth="1"/>
    <col min="9479" max="9724" width="8.125" style="26"/>
    <col min="9725" max="9725" width="3.625" style="26" customWidth="1"/>
    <col min="9726" max="9726" width="10.75" style="26" customWidth="1"/>
    <col min="9727" max="9727" width="16.5" style="26" customWidth="1"/>
    <col min="9728" max="9728" width="13.625" style="26" customWidth="1"/>
    <col min="9729" max="9729" width="1.875" style="26" customWidth="1"/>
    <col min="9730" max="9730" width="3.625" style="26" customWidth="1"/>
    <col min="9731" max="9731" width="10.75" style="26" customWidth="1"/>
    <col min="9732" max="9732" width="16.5" style="26" customWidth="1"/>
    <col min="9733" max="9733" width="13.625" style="26" customWidth="1"/>
    <col min="9734" max="9734" width="2" style="26" customWidth="1"/>
    <col min="9735" max="9980" width="8.125" style="26"/>
    <col min="9981" max="9981" width="3.625" style="26" customWidth="1"/>
    <col min="9982" max="9982" width="10.75" style="26" customWidth="1"/>
    <col min="9983" max="9983" width="16.5" style="26" customWidth="1"/>
    <col min="9984" max="9984" width="13.625" style="26" customWidth="1"/>
    <col min="9985" max="9985" width="1.875" style="26" customWidth="1"/>
    <col min="9986" max="9986" width="3.625" style="26" customWidth="1"/>
    <col min="9987" max="9987" width="10.75" style="26" customWidth="1"/>
    <col min="9988" max="9988" width="16.5" style="26" customWidth="1"/>
    <col min="9989" max="9989" width="13.625" style="26" customWidth="1"/>
    <col min="9990" max="9990" width="2" style="26" customWidth="1"/>
    <col min="9991" max="10236" width="8.125" style="26"/>
    <col min="10237" max="10237" width="3.625" style="26" customWidth="1"/>
    <col min="10238" max="10238" width="10.75" style="26" customWidth="1"/>
    <col min="10239" max="10239" width="16.5" style="26" customWidth="1"/>
    <col min="10240" max="10240" width="13.625" style="26" customWidth="1"/>
    <col min="10241" max="10241" width="1.875" style="26" customWidth="1"/>
    <col min="10242" max="10242" width="3.625" style="26" customWidth="1"/>
    <col min="10243" max="10243" width="10.75" style="26" customWidth="1"/>
    <col min="10244" max="10244" width="16.5" style="26" customWidth="1"/>
    <col min="10245" max="10245" width="13.625" style="26" customWidth="1"/>
    <col min="10246" max="10246" width="2" style="26" customWidth="1"/>
    <col min="10247" max="10492" width="8.125" style="26"/>
    <col min="10493" max="10493" width="3.625" style="26" customWidth="1"/>
    <col min="10494" max="10494" width="10.75" style="26" customWidth="1"/>
    <col min="10495" max="10495" width="16.5" style="26" customWidth="1"/>
    <col min="10496" max="10496" width="13.625" style="26" customWidth="1"/>
    <col min="10497" max="10497" width="1.875" style="26" customWidth="1"/>
    <col min="10498" max="10498" width="3.625" style="26" customWidth="1"/>
    <col min="10499" max="10499" width="10.75" style="26" customWidth="1"/>
    <col min="10500" max="10500" width="16.5" style="26" customWidth="1"/>
    <col min="10501" max="10501" width="13.625" style="26" customWidth="1"/>
    <col min="10502" max="10502" width="2" style="26" customWidth="1"/>
    <col min="10503" max="10748" width="8.125" style="26"/>
    <col min="10749" max="10749" width="3.625" style="26" customWidth="1"/>
    <col min="10750" max="10750" width="10.75" style="26" customWidth="1"/>
    <col min="10751" max="10751" width="16.5" style="26" customWidth="1"/>
    <col min="10752" max="10752" width="13.625" style="26" customWidth="1"/>
    <col min="10753" max="10753" width="1.875" style="26" customWidth="1"/>
    <col min="10754" max="10754" width="3.625" style="26" customWidth="1"/>
    <col min="10755" max="10755" width="10.75" style="26" customWidth="1"/>
    <col min="10756" max="10756" width="16.5" style="26" customWidth="1"/>
    <col min="10757" max="10757" width="13.625" style="26" customWidth="1"/>
    <col min="10758" max="10758" width="2" style="26" customWidth="1"/>
    <col min="10759" max="11004" width="8.125" style="26"/>
    <col min="11005" max="11005" width="3.625" style="26" customWidth="1"/>
    <col min="11006" max="11006" width="10.75" style="26" customWidth="1"/>
    <col min="11007" max="11007" width="16.5" style="26" customWidth="1"/>
    <col min="11008" max="11008" width="13.625" style="26" customWidth="1"/>
    <col min="11009" max="11009" width="1.875" style="26" customWidth="1"/>
    <col min="11010" max="11010" width="3.625" style="26" customWidth="1"/>
    <col min="11011" max="11011" width="10.75" style="26" customWidth="1"/>
    <col min="11012" max="11012" width="16.5" style="26" customWidth="1"/>
    <col min="11013" max="11013" width="13.625" style="26" customWidth="1"/>
    <col min="11014" max="11014" width="2" style="26" customWidth="1"/>
    <col min="11015" max="11260" width="8.125" style="26"/>
    <col min="11261" max="11261" width="3.625" style="26" customWidth="1"/>
    <col min="11262" max="11262" width="10.75" style="26" customWidth="1"/>
    <col min="11263" max="11263" width="16.5" style="26" customWidth="1"/>
    <col min="11264" max="11264" width="13.625" style="26" customWidth="1"/>
    <col min="11265" max="11265" width="1.875" style="26" customWidth="1"/>
    <col min="11266" max="11266" width="3.625" style="26" customWidth="1"/>
    <col min="11267" max="11267" width="10.75" style="26" customWidth="1"/>
    <col min="11268" max="11268" width="16.5" style="26" customWidth="1"/>
    <col min="11269" max="11269" width="13.625" style="26" customWidth="1"/>
    <col min="11270" max="11270" width="2" style="26" customWidth="1"/>
    <col min="11271" max="11516" width="8.125" style="26"/>
    <col min="11517" max="11517" width="3.625" style="26" customWidth="1"/>
    <col min="11518" max="11518" width="10.75" style="26" customWidth="1"/>
    <col min="11519" max="11519" width="16.5" style="26" customWidth="1"/>
    <col min="11520" max="11520" width="13.625" style="26" customWidth="1"/>
    <col min="11521" max="11521" width="1.875" style="26" customWidth="1"/>
    <col min="11522" max="11522" width="3.625" style="26" customWidth="1"/>
    <col min="11523" max="11523" width="10.75" style="26" customWidth="1"/>
    <col min="11524" max="11524" width="16.5" style="26" customWidth="1"/>
    <col min="11525" max="11525" width="13.625" style="26" customWidth="1"/>
    <col min="11526" max="11526" width="2" style="26" customWidth="1"/>
    <col min="11527" max="11772" width="8.125" style="26"/>
    <col min="11773" max="11773" width="3.625" style="26" customWidth="1"/>
    <col min="11774" max="11774" width="10.75" style="26" customWidth="1"/>
    <col min="11775" max="11775" width="16.5" style="26" customWidth="1"/>
    <col min="11776" max="11776" width="13.625" style="26" customWidth="1"/>
    <col min="11777" max="11777" width="1.875" style="26" customWidth="1"/>
    <col min="11778" max="11778" width="3.625" style="26" customWidth="1"/>
    <col min="11779" max="11779" width="10.75" style="26" customWidth="1"/>
    <col min="11780" max="11780" width="16.5" style="26" customWidth="1"/>
    <col min="11781" max="11781" width="13.625" style="26" customWidth="1"/>
    <col min="11782" max="11782" width="2" style="26" customWidth="1"/>
    <col min="11783" max="12028" width="8.125" style="26"/>
    <col min="12029" max="12029" width="3.625" style="26" customWidth="1"/>
    <col min="12030" max="12030" width="10.75" style="26" customWidth="1"/>
    <col min="12031" max="12031" width="16.5" style="26" customWidth="1"/>
    <col min="12032" max="12032" width="13.625" style="26" customWidth="1"/>
    <col min="12033" max="12033" width="1.875" style="26" customWidth="1"/>
    <col min="12034" max="12034" width="3.625" style="26" customWidth="1"/>
    <col min="12035" max="12035" width="10.75" style="26" customWidth="1"/>
    <col min="12036" max="12036" width="16.5" style="26" customWidth="1"/>
    <col min="12037" max="12037" width="13.625" style="26" customWidth="1"/>
    <col min="12038" max="12038" width="2" style="26" customWidth="1"/>
    <col min="12039" max="12284" width="8.125" style="26"/>
    <col min="12285" max="12285" width="3.625" style="26" customWidth="1"/>
    <col min="12286" max="12286" width="10.75" style="26" customWidth="1"/>
    <col min="12287" max="12287" width="16.5" style="26" customWidth="1"/>
    <col min="12288" max="12288" width="13.625" style="26" customWidth="1"/>
    <col min="12289" max="12289" width="1.875" style="26" customWidth="1"/>
    <col min="12290" max="12290" width="3.625" style="26" customWidth="1"/>
    <col min="12291" max="12291" width="10.75" style="26" customWidth="1"/>
    <col min="12292" max="12292" width="16.5" style="26" customWidth="1"/>
    <col min="12293" max="12293" width="13.625" style="26" customWidth="1"/>
    <col min="12294" max="12294" width="2" style="26" customWidth="1"/>
    <col min="12295" max="12540" width="8.125" style="26"/>
    <col min="12541" max="12541" width="3.625" style="26" customWidth="1"/>
    <col min="12542" max="12542" width="10.75" style="26" customWidth="1"/>
    <col min="12543" max="12543" width="16.5" style="26" customWidth="1"/>
    <col min="12544" max="12544" width="13.625" style="26" customWidth="1"/>
    <col min="12545" max="12545" width="1.875" style="26" customWidth="1"/>
    <col min="12546" max="12546" width="3.625" style="26" customWidth="1"/>
    <col min="12547" max="12547" width="10.75" style="26" customWidth="1"/>
    <col min="12548" max="12548" width="16.5" style="26" customWidth="1"/>
    <col min="12549" max="12549" width="13.625" style="26" customWidth="1"/>
    <col min="12550" max="12550" width="2" style="26" customWidth="1"/>
    <col min="12551" max="12796" width="8.125" style="26"/>
    <col min="12797" max="12797" width="3.625" style="26" customWidth="1"/>
    <col min="12798" max="12798" width="10.75" style="26" customWidth="1"/>
    <col min="12799" max="12799" width="16.5" style="26" customWidth="1"/>
    <col min="12800" max="12800" width="13.625" style="26" customWidth="1"/>
    <col min="12801" max="12801" width="1.875" style="26" customWidth="1"/>
    <col min="12802" max="12802" width="3.625" style="26" customWidth="1"/>
    <col min="12803" max="12803" width="10.75" style="26" customWidth="1"/>
    <col min="12804" max="12804" width="16.5" style="26" customWidth="1"/>
    <col min="12805" max="12805" width="13.625" style="26" customWidth="1"/>
    <col min="12806" max="12806" width="2" style="26" customWidth="1"/>
    <col min="12807" max="13052" width="8.125" style="26"/>
    <col min="13053" max="13053" width="3.625" style="26" customWidth="1"/>
    <col min="13054" max="13054" width="10.75" style="26" customWidth="1"/>
    <col min="13055" max="13055" width="16.5" style="26" customWidth="1"/>
    <col min="13056" max="13056" width="13.625" style="26" customWidth="1"/>
    <col min="13057" max="13057" width="1.875" style="26" customWidth="1"/>
    <col min="13058" max="13058" width="3.625" style="26" customWidth="1"/>
    <col min="13059" max="13059" width="10.75" style="26" customWidth="1"/>
    <col min="13060" max="13060" width="16.5" style="26" customWidth="1"/>
    <col min="13061" max="13061" width="13.625" style="26" customWidth="1"/>
    <col min="13062" max="13062" width="2" style="26" customWidth="1"/>
    <col min="13063" max="13308" width="8.125" style="26"/>
    <col min="13309" max="13309" width="3.625" style="26" customWidth="1"/>
    <col min="13310" max="13310" width="10.75" style="26" customWidth="1"/>
    <col min="13311" max="13311" width="16.5" style="26" customWidth="1"/>
    <col min="13312" max="13312" width="13.625" style="26" customWidth="1"/>
    <col min="13313" max="13313" width="1.875" style="26" customWidth="1"/>
    <col min="13314" max="13314" width="3.625" style="26" customWidth="1"/>
    <col min="13315" max="13315" width="10.75" style="26" customWidth="1"/>
    <col min="13316" max="13316" width="16.5" style="26" customWidth="1"/>
    <col min="13317" max="13317" width="13.625" style="26" customWidth="1"/>
    <col min="13318" max="13318" width="2" style="26" customWidth="1"/>
    <col min="13319" max="13564" width="8.125" style="26"/>
    <col min="13565" max="13565" width="3.625" style="26" customWidth="1"/>
    <col min="13566" max="13566" width="10.75" style="26" customWidth="1"/>
    <col min="13567" max="13567" width="16.5" style="26" customWidth="1"/>
    <col min="13568" max="13568" width="13.625" style="26" customWidth="1"/>
    <col min="13569" max="13569" width="1.875" style="26" customWidth="1"/>
    <col min="13570" max="13570" width="3.625" style="26" customWidth="1"/>
    <col min="13571" max="13571" width="10.75" style="26" customWidth="1"/>
    <col min="13572" max="13572" width="16.5" style="26" customWidth="1"/>
    <col min="13573" max="13573" width="13.625" style="26" customWidth="1"/>
    <col min="13574" max="13574" width="2" style="26" customWidth="1"/>
    <col min="13575" max="13820" width="8.125" style="26"/>
    <col min="13821" max="13821" width="3.625" style="26" customWidth="1"/>
    <col min="13822" max="13822" width="10.75" style="26" customWidth="1"/>
    <col min="13823" max="13823" width="16.5" style="26" customWidth="1"/>
    <col min="13824" max="13824" width="13.625" style="26" customWidth="1"/>
    <col min="13825" max="13825" width="1.875" style="26" customWidth="1"/>
    <col min="13826" max="13826" width="3.625" style="26" customWidth="1"/>
    <col min="13827" max="13827" width="10.75" style="26" customWidth="1"/>
    <col min="13828" max="13828" width="16.5" style="26" customWidth="1"/>
    <col min="13829" max="13829" width="13.625" style="26" customWidth="1"/>
    <col min="13830" max="13830" width="2" style="26" customWidth="1"/>
    <col min="13831" max="14076" width="8.125" style="26"/>
    <col min="14077" max="14077" width="3.625" style="26" customWidth="1"/>
    <col min="14078" max="14078" width="10.75" style="26" customWidth="1"/>
    <col min="14079" max="14079" width="16.5" style="26" customWidth="1"/>
    <col min="14080" max="14080" width="13.625" style="26" customWidth="1"/>
    <col min="14081" max="14081" width="1.875" style="26" customWidth="1"/>
    <col min="14082" max="14082" width="3.625" style="26" customWidth="1"/>
    <col min="14083" max="14083" width="10.75" style="26" customWidth="1"/>
    <col min="14084" max="14084" width="16.5" style="26" customWidth="1"/>
    <col min="14085" max="14085" width="13.625" style="26" customWidth="1"/>
    <col min="14086" max="14086" width="2" style="26" customWidth="1"/>
    <col min="14087" max="14332" width="8.125" style="26"/>
    <col min="14333" max="14333" width="3.625" style="26" customWidth="1"/>
    <col min="14334" max="14334" width="10.75" style="26" customWidth="1"/>
    <col min="14335" max="14335" width="16.5" style="26" customWidth="1"/>
    <col min="14336" max="14336" width="13.625" style="26" customWidth="1"/>
    <col min="14337" max="14337" width="1.875" style="26" customWidth="1"/>
    <col min="14338" max="14338" width="3.625" style="26" customWidth="1"/>
    <col min="14339" max="14339" width="10.75" style="26" customWidth="1"/>
    <col min="14340" max="14340" width="16.5" style="26" customWidth="1"/>
    <col min="14341" max="14341" width="13.625" style="26" customWidth="1"/>
    <col min="14342" max="14342" width="2" style="26" customWidth="1"/>
    <col min="14343" max="14588" width="8.125" style="26"/>
    <col min="14589" max="14589" width="3.625" style="26" customWidth="1"/>
    <col min="14590" max="14590" width="10.75" style="26" customWidth="1"/>
    <col min="14591" max="14591" width="16.5" style="26" customWidth="1"/>
    <col min="14592" max="14592" width="13.625" style="26" customWidth="1"/>
    <col min="14593" max="14593" width="1.875" style="26" customWidth="1"/>
    <col min="14594" max="14594" width="3.625" style="26" customWidth="1"/>
    <col min="14595" max="14595" width="10.75" style="26" customWidth="1"/>
    <col min="14596" max="14596" width="16.5" style="26" customWidth="1"/>
    <col min="14597" max="14597" width="13.625" style="26" customWidth="1"/>
    <col min="14598" max="14598" width="2" style="26" customWidth="1"/>
    <col min="14599" max="14844" width="8.125" style="26"/>
    <col min="14845" max="14845" width="3.625" style="26" customWidth="1"/>
    <col min="14846" max="14846" width="10.75" style="26" customWidth="1"/>
    <col min="14847" max="14847" width="16.5" style="26" customWidth="1"/>
    <col min="14848" max="14848" width="13.625" style="26" customWidth="1"/>
    <col min="14849" max="14849" width="1.875" style="26" customWidth="1"/>
    <col min="14850" max="14850" width="3.625" style="26" customWidth="1"/>
    <col min="14851" max="14851" width="10.75" style="26" customWidth="1"/>
    <col min="14852" max="14852" width="16.5" style="26" customWidth="1"/>
    <col min="14853" max="14853" width="13.625" style="26" customWidth="1"/>
    <col min="14854" max="14854" width="2" style="26" customWidth="1"/>
    <col min="14855" max="15100" width="8.125" style="26"/>
    <col min="15101" max="15101" width="3.625" style="26" customWidth="1"/>
    <col min="15102" max="15102" width="10.75" style="26" customWidth="1"/>
    <col min="15103" max="15103" width="16.5" style="26" customWidth="1"/>
    <col min="15104" max="15104" width="13.625" style="26" customWidth="1"/>
    <col min="15105" max="15105" width="1.875" style="26" customWidth="1"/>
    <col min="15106" max="15106" width="3.625" style="26" customWidth="1"/>
    <col min="15107" max="15107" width="10.75" style="26" customWidth="1"/>
    <col min="15108" max="15108" width="16.5" style="26" customWidth="1"/>
    <col min="15109" max="15109" width="13.625" style="26" customWidth="1"/>
    <col min="15110" max="15110" width="2" style="26" customWidth="1"/>
    <col min="15111" max="15356" width="8.125" style="26"/>
    <col min="15357" max="15357" width="3.625" style="26" customWidth="1"/>
    <col min="15358" max="15358" width="10.75" style="26" customWidth="1"/>
    <col min="15359" max="15359" width="16.5" style="26" customWidth="1"/>
    <col min="15360" max="15360" width="13.625" style="26" customWidth="1"/>
    <col min="15361" max="15361" width="1.875" style="26" customWidth="1"/>
    <col min="15362" max="15362" width="3.625" style="26" customWidth="1"/>
    <col min="15363" max="15363" width="10.75" style="26" customWidth="1"/>
    <col min="15364" max="15364" width="16.5" style="26" customWidth="1"/>
    <col min="15365" max="15365" width="13.625" style="26" customWidth="1"/>
    <col min="15366" max="15366" width="2" style="26" customWidth="1"/>
    <col min="15367" max="15612" width="8.125" style="26"/>
    <col min="15613" max="15613" width="3.625" style="26" customWidth="1"/>
    <col min="15614" max="15614" width="10.75" style="26" customWidth="1"/>
    <col min="15615" max="15615" width="16.5" style="26" customWidth="1"/>
    <col min="15616" max="15616" width="13.625" style="26" customWidth="1"/>
    <col min="15617" max="15617" width="1.875" style="26" customWidth="1"/>
    <col min="15618" max="15618" width="3.625" style="26" customWidth="1"/>
    <col min="15619" max="15619" width="10.75" style="26" customWidth="1"/>
    <col min="15620" max="15620" width="16.5" style="26" customWidth="1"/>
    <col min="15621" max="15621" width="13.625" style="26" customWidth="1"/>
    <col min="15622" max="15622" width="2" style="26" customWidth="1"/>
    <col min="15623" max="15868" width="8.125" style="26"/>
    <col min="15869" max="15869" width="3.625" style="26" customWidth="1"/>
    <col min="15870" max="15870" width="10.75" style="26" customWidth="1"/>
    <col min="15871" max="15871" width="16.5" style="26" customWidth="1"/>
    <col min="15872" max="15872" width="13.625" style="26" customWidth="1"/>
    <col min="15873" max="15873" width="1.875" style="26" customWidth="1"/>
    <col min="15874" max="15874" width="3.625" style="26" customWidth="1"/>
    <col min="15875" max="15875" width="10.75" style="26" customWidth="1"/>
    <col min="15876" max="15876" width="16.5" style="26" customWidth="1"/>
    <col min="15877" max="15877" width="13.625" style="26" customWidth="1"/>
    <col min="15878" max="15878" width="2" style="26" customWidth="1"/>
    <col min="15879" max="16124" width="8.125" style="26"/>
    <col min="16125" max="16125" width="3.625" style="26" customWidth="1"/>
    <col min="16126" max="16126" width="10.75" style="26" customWidth="1"/>
    <col min="16127" max="16127" width="16.5" style="26" customWidth="1"/>
    <col min="16128" max="16128" width="13.625" style="26" customWidth="1"/>
    <col min="16129" max="16129" width="1.875" style="26" customWidth="1"/>
    <col min="16130" max="16130" width="3.625" style="26" customWidth="1"/>
    <col min="16131" max="16131" width="10.75" style="26" customWidth="1"/>
    <col min="16132" max="16132" width="16.5" style="26" customWidth="1"/>
    <col min="16133" max="16133" width="13.625" style="26" customWidth="1"/>
    <col min="16134" max="16134" width="2" style="26" customWidth="1"/>
    <col min="16135" max="16384" width="8.125" style="26"/>
  </cols>
  <sheetData>
    <row r="1" spans="1:6" s="20" customFormat="1" ht="17.25">
      <c r="A1" s="19"/>
      <c r="B1" s="19"/>
      <c r="C1" s="19"/>
      <c r="D1" s="19"/>
      <c r="E1" s="19"/>
    </row>
    <row r="2" spans="1:6" s="20" customFormat="1" ht="17.25">
      <c r="A2" s="21"/>
      <c r="B2" s="24"/>
      <c r="C2" s="21"/>
      <c r="D2" s="22" t="s">
        <v>81</v>
      </c>
    </row>
    <row r="3" spans="1:6" s="20" customFormat="1" ht="41.45" customHeight="1">
      <c r="A3" s="189" t="s">
        <v>82</v>
      </c>
      <c r="B3" s="189"/>
      <c r="C3" s="189"/>
      <c r="D3" s="189"/>
      <c r="E3" s="23"/>
    </row>
    <row r="4" spans="1:6" ht="18" customHeight="1">
      <c r="A4" s="24" t="s">
        <v>83</v>
      </c>
      <c r="B4" s="19"/>
      <c r="C4" s="19"/>
      <c r="D4" s="25" t="s">
        <v>84</v>
      </c>
      <c r="E4" s="20"/>
    </row>
    <row r="5" spans="1:6" ht="23.25" customHeight="1">
      <c r="A5" s="190" t="s">
        <v>85</v>
      </c>
      <c r="B5" s="191"/>
      <c r="C5" s="27" t="s">
        <v>86</v>
      </c>
      <c r="D5" s="27" t="s">
        <v>87</v>
      </c>
      <c r="E5" s="20"/>
    </row>
    <row r="6" spans="1:6" ht="30" customHeight="1">
      <c r="A6" s="192" t="s">
        <v>88</v>
      </c>
      <c r="B6" s="193"/>
      <c r="C6" s="139">
        <f>支出合計!E4</f>
        <v>227000</v>
      </c>
      <c r="D6" s="140" t="s">
        <v>81</v>
      </c>
      <c r="E6" s="20"/>
    </row>
    <row r="7" spans="1:6" ht="30" customHeight="1">
      <c r="A7" s="205" t="s">
        <v>71</v>
      </c>
      <c r="B7" s="206"/>
      <c r="C7" s="107">
        <v>484</v>
      </c>
      <c r="D7" s="66"/>
    </row>
    <row r="8" spans="1:6" ht="30" customHeight="1" thickBot="1">
      <c r="A8" s="194"/>
      <c r="B8" s="195"/>
      <c r="C8" s="66"/>
      <c r="D8" s="66"/>
    </row>
    <row r="9" spans="1:6" ht="30" customHeight="1" thickBot="1">
      <c r="A9" s="196" t="s">
        <v>89</v>
      </c>
      <c r="B9" s="197"/>
      <c r="C9" s="141">
        <f>SUM(C6:C8)</f>
        <v>227484</v>
      </c>
      <c r="D9" s="28"/>
    </row>
    <row r="10" spans="1:6" ht="12.75" customHeight="1">
      <c r="A10" s="19"/>
      <c r="B10" s="19"/>
      <c r="C10" s="19"/>
      <c r="D10" s="19"/>
      <c r="E10" s="19"/>
    </row>
    <row r="11" spans="1:6" ht="18" customHeight="1">
      <c r="A11" s="24" t="s">
        <v>90</v>
      </c>
      <c r="B11" s="19"/>
      <c r="C11" s="19"/>
    </row>
    <row r="12" spans="1:6" ht="23.25" customHeight="1">
      <c r="A12" s="198" t="s">
        <v>85</v>
      </c>
      <c r="B12" s="199"/>
      <c r="C12" s="29" t="s">
        <v>86</v>
      </c>
      <c r="D12" s="29" t="s">
        <v>87</v>
      </c>
      <c r="E12" s="30"/>
    </row>
    <row r="13" spans="1:6" ht="30" customHeight="1">
      <c r="A13" s="200" t="s">
        <v>91</v>
      </c>
      <c r="B13" s="31" t="s">
        <v>92</v>
      </c>
      <c r="C13" s="142">
        <f>支出合計!B29</f>
        <v>8400</v>
      </c>
      <c r="D13" s="118" t="s">
        <v>157</v>
      </c>
      <c r="E13" s="32"/>
      <c r="F13" s="20"/>
    </row>
    <row r="14" spans="1:6" ht="30" customHeight="1">
      <c r="A14" s="201"/>
      <c r="B14" s="31" t="s">
        <v>93</v>
      </c>
      <c r="C14" s="142">
        <f>支出合計!B30</f>
        <v>12000</v>
      </c>
      <c r="D14" s="118" t="s">
        <v>158</v>
      </c>
      <c r="E14" s="32"/>
      <c r="F14" s="20"/>
    </row>
    <row r="15" spans="1:6" ht="30" customHeight="1">
      <c r="A15" s="201"/>
      <c r="B15" s="31" t="s">
        <v>94</v>
      </c>
      <c r="C15" s="142">
        <f>支出合計!B31</f>
        <v>24000</v>
      </c>
      <c r="D15" s="118" t="s">
        <v>159</v>
      </c>
      <c r="E15" s="32"/>
      <c r="F15" s="20"/>
    </row>
    <row r="16" spans="1:6" ht="30" customHeight="1">
      <c r="A16" s="201"/>
      <c r="B16" s="31" t="s">
        <v>95</v>
      </c>
      <c r="C16" s="142">
        <f>支出合計!B32</f>
        <v>30100</v>
      </c>
      <c r="D16" s="118" t="s">
        <v>160</v>
      </c>
      <c r="E16" s="32"/>
      <c r="F16" s="20"/>
    </row>
    <row r="17" spans="1:6" ht="30" customHeight="1">
      <c r="A17" s="201"/>
      <c r="B17" s="31" t="s">
        <v>96</v>
      </c>
      <c r="C17" s="142">
        <f>支出合計!B33</f>
        <v>0</v>
      </c>
      <c r="D17" s="104"/>
      <c r="E17" s="32"/>
      <c r="F17" s="20"/>
    </row>
    <row r="18" spans="1:6" ht="30" customHeight="1">
      <c r="A18" s="201"/>
      <c r="B18" s="31" t="s">
        <v>97</v>
      </c>
      <c r="C18" s="142" t="s">
        <v>109</v>
      </c>
      <c r="D18" s="145"/>
      <c r="E18" s="32"/>
      <c r="F18" s="20"/>
    </row>
    <row r="19" spans="1:6" ht="30" customHeight="1">
      <c r="A19" s="201"/>
      <c r="B19" s="31" t="s">
        <v>98</v>
      </c>
      <c r="C19" s="142" t="s">
        <v>109</v>
      </c>
      <c r="D19" s="146"/>
      <c r="E19" s="33"/>
      <c r="F19" s="20"/>
    </row>
    <row r="20" spans="1:6" ht="30" customHeight="1">
      <c r="A20" s="201"/>
      <c r="B20" s="31" t="s">
        <v>99</v>
      </c>
      <c r="C20" s="142" t="s">
        <v>109</v>
      </c>
      <c r="D20" s="146"/>
      <c r="E20" s="33"/>
      <c r="F20" s="20"/>
    </row>
    <row r="21" spans="1:6" ht="30" customHeight="1">
      <c r="A21" s="201"/>
      <c r="B21" s="34" t="s">
        <v>71</v>
      </c>
      <c r="C21" s="142">
        <f>支出合計!B34</f>
        <v>0</v>
      </c>
      <c r="D21" s="105"/>
      <c r="E21" s="33"/>
      <c r="F21" s="20"/>
    </row>
    <row r="22" spans="1:6" ht="30" customHeight="1">
      <c r="A22" s="190" t="s">
        <v>6</v>
      </c>
      <c r="B22" s="191"/>
      <c r="C22" s="142">
        <f>支出合計!E26</f>
        <v>15000</v>
      </c>
      <c r="D22" s="119" t="s">
        <v>161</v>
      </c>
      <c r="E22" s="33"/>
      <c r="F22" s="20"/>
    </row>
    <row r="23" spans="1:6" ht="30" customHeight="1">
      <c r="A23" s="202" t="s">
        <v>7</v>
      </c>
      <c r="B23" s="35" t="s">
        <v>100</v>
      </c>
      <c r="C23" s="142">
        <f>支出合計!H29</f>
        <v>24000</v>
      </c>
      <c r="D23" s="119" t="s">
        <v>162</v>
      </c>
      <c r="E23" s="33"/>
      <c r="F23" s="20"/>
    </row>
    <row r="24" spans="1:6" ht="30" customHeight="1">
      <c r="A24" s="202"/>
      <c r="B24" s="31" t="s">
        <v>101</v>
      </c>
      <c r="C24" s="142">
        <f>支出合計!H30</f>
        <v>17472</v>
      </c>
      <c r="D24" s="119" t="s">
        <v>163</v>
      </c>
      <c r="E24" s="33"/>
      <c r="F24" s="20"/>
    </row>
    <row r="25" spans="1:6" ht="30" customHeight="1">
      <c r="A25" s="202"/>
      <c r="B25" s="31" t="s">
        <v>94</v>
      </c>
      <c r="C25" s="142">
        <f>支出合計!H31</f>
        <v>0</v>
      </c>
      <c r="D25" s="119"/>
      <c r="E25" s="33"/>
      <c r="F25" s="20"/>
    </row>
    <row r="26" spans="1:6" ht="30" customHeight="1">
      <c r="A26" s="202"/>
      <c r="B26" s="31" t="s">
        <v>102</v>
      </c>
      <c r="C26" s="142">
        <f>支出合計!H32+支出合計!H33</f>
        <v>46512</v>
      </c>
      <c r="D26" s="119" t="s">
        <v>164</v>
      </c>
      <c r="E26" s="33"/>
      <c r="F26" s="20"/>
    </row>
    <row r="27" spans="1:6" ht="30" customHeight="1">
      <c r="A27" s="202" t="s">
        <v>103</v>
      </c>
      <c r="B27" s="31" t="s">
        <v>104</v>
      </c>
      <c r="C27" s="142" t="s">
        <v>109</v>
      </c>
      <c r="D27" s="119"/>
      <c r="E27" s="33"/>
      <c r="F27" s="20"/>
    </row>
    <row r="28" spans="1:6" ht="30" customHeight="1">
      <c r="A28" s="202"/>
      <c r="B28" s="31" t="s">
        <v>105</v>
      </c>
      <c r="C28" s="142">
        <f>支出合計!K29</f>
        <v>50000</v>
      </c>
      <c r="D28" s="119" t="s">
        <v>165</v>
      </c>
      <c r="E28" s="33"/>
      <c r="F28" s="20"/>
    </row>
    <row r="29" spans="1:6" ht="30" customHeight="1">
      <c r="A29" s="202"/>
      <c r="B29" s="31" t="s">
        <v>106</v>
      </c>
      <c r="C29" s="142">
        <f>支出合計!K30</f>
        <v>0</v>
      </c>
      <c r="D29" s="105"/>
      <c r="E29" s="33"/>
      <c r="F29" s="20"/>
    </row>
    <row r="30" spans="1:6" ht="30" customHeight="1" thickBot="1">
      <c r="A30" s="200"/>
      <c r="B30" s="34" t="s">
        <v>71</v>
      </c>
      <c r="C30" s="143">
        <f>支出合計!K31</f>
        <v>0</v>
      </c>
      <c r="D30" s="105"/>
      <c r="E30" s="33"/>
      <c r="F30" s="20"/>
    </row>
    <row r="31" spans="1:6" ht="30" customHeight="1" thickBot="1">
      <c r="A31" s="203" t="s">
        <v>107</v>
      </c>
      <c r="B31" s="204"/>
      <c r="C31" s="144">
        <f>SUM(C13:C30)</f>
        <v>227484</v>
      </c>
      <c r="D31" s="106"/>
      <c r="E31" s="33"/>
      <c r="F31" s="20"/>
    </row>
    <row r="32" spans="1:6" ht="7.5" customHeight="1">
      <c r="A32" s="19"/>
      <c r="B32" s="25"/>
      <c r="C32" s="25"/>
      <c r="D32" s="25"/>
      <c r="E32" s="19"/>
      <c r="F32" s="20"/>
    </row>
    <row r="33" spans="1:6" ht="18" customHeight="1">
      <c r="B33" s="188">
        <v>46112</v>
      </c>
      <c r="C33" s="188"/>
      <c r="D33" s="33"/>
      <c r="E33" s="19"/>
      <c r="F33" s="20"/>
    </row>
    <row r="34" spans="1:6" ht="18" customHeight="1">
      <c r="A34" s="36"/>
      <c r="B34" s="32"/>
      <c r="C34" s="65" t="s">
        <v>108</v>
      </c>
      <c r="D34" s="109" t="str">
        <f>利用者名簿!G25</f>
        <v>●●●会</v>
      </c>
      <c r="E34" s="19"/>
      <c r="F34" s="20"/>
    </row>
    <row r="35" spans="1:6" ht="24" customHeight="1">
      <c r="A35" s="19"/>
      <c r="B35" s="19"/>
      <c r="C35" s="19"/>
      <c r="D35" s="19"/>
      <c r="E35" s="19"/>
      <c r="F35" s="20"/>
    </row>
    <row r="36" spans="1:6" ht="24.75" customHeight="1">
      <c r="A36" s="37"/>
      <c r="B36" s="20"/>
      <c r="C36" s="20"/>
      <c r="D36" s="20"/>
      <c r="E36" s="20"/>
      <c r="F36" s="20"/>
    </row>
    <row r="37" spans="1:6" ht="34.5" customHeight="1">
      <c r="A37" s="20"/>
      <c r="B37" s="20"/>
      <c r="C37" s="20"/>
      <c r="D37" s="20"/>
      <c r="E37" s="38"/>
      <c r="F37" s="20"/>
    </row>
    <row r="38" spans="1:6" ht="40.5" customHeight="1">
      <c r="A38" s="20"/>
      <c r="B38" s="20"/>
      <c r="C38" s="20"/>
      <c r="D38" s="20"/>
      <c r="F38" s="20"/>
    </row>
    <row r="39" spans="1:6">
      <c r="A39" s="20"/>
      <c r="B39" s="20"/>
      <c r="C39" s="20"/>
      <c r="D39" s="20"/>
      <c r="E39" s="20"/>
      <c r="F39" s="20"/>
    </row>
    <row r="40" spans="1:6">
      <c r="A40" s="20"/>
      <c r="B40" s="20"/>
      <c r="C40" s="20"/>
      <c r="D40" s="20"/>
      <c r="E40" s="20"/>
      <c r="F40" s="20"/>
    </row>
    <row r="42" spans="1:6" ht="13.5">
      <c r="E42" s="39"/>
    </row>
  </sheetData>
  <sheetProtection algorithmName="SHA-512" hashValue="WxeGXTgDNb505onljny2ZE3yXH4JtpHqRDSYSNXEpJsBgbzu3ZZDIXF5b8Ox1NUH4eK6Pbz0xNLYIzZCzUEKrg==" saltValue="AalPmkvMsoV7nmailCqcgg==" spinCount="100000" sheet="1" objects="1" scenarios="1"/>
  <mergeCells count="13">
    <mergeCell ref="B33:C33"/>
    <mergeCell ref="A3:D3"/>
    <mergeCell ref="A5:B5"/>
    <mergeCell ref="A6:B6"/>
    <mergeCell ref="A8:B8"/>
    <mergeCell ref="A9:B9"/>
    <mergeCell ref="A12:B12"/>
    <mergeCell ref="A13:A21"/>
    <mergeCell ref="A22:B22"/>
    <mergeCell ref="A23:A26"/>
    <mergeCell ref="A27:A30"/>
    <mergeCell ref="A31:B31"/>
    <mergeCell ref="A7:B7"/>
  </mergeCells>
  <phoneticPr fontId="1"/>
  <conditionalFormatting sqref="D31">
    <cfRule type="cellIs" dxfId="0" priority="1" stopIfTrue="1" operator="equal">
      <formula>0</formula>
    </cfRule>
  </conditionalFormatting>
  <pageMargins left="0.7" right="0.7" top="0.75" bottom="0.75" header="0.3" footer="0.3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view="pageBreakPreview" topLeftCell="A4" zoomScale="86" zoomScaleNormal="100" zoomScaleSheetLayoutView="86" workbookViewId="0">
      <selection activeCell="U6" sqref="U6"/>
    </sheetView>
  </sheetViews>
  <sheetFormatPr defaultRowHeight="13.5"/>
  <cols>
    <col min="1" max="1" width="3.625" style="69" customWidth="1"/>
    <col min="2" max="2" width="27.625" style="69" customWidth="1"/>
    <col min="3" max="3" width="7.125" style="69" bestFit="1" customWidth="1"/>
    <col min="4" max="4" width="7.25" style="69" customWidth="1"/>
    <col min="5" max="5" width="1.25" style="70" customWidth="1"/>
    <col min="6" max="6" width="6" style="70" customWidth="1"/>
    <col min="7" max="7" width="4.375" style="70" customWidth="1"/>
    <col min="8" max="39" width="4.375" style="69" customWidth="1"/>
    <col min="40" max="16384" width="9" style="69"/>
  </cols>
  <sheetData>
    <row r="1" spans="1:52" ht="21.75" customHeight="1">
      <c r="A1" s="68"/>
      <c r="AK1" s="71" t="s">
        <v>112</v>
      </c>
      <c r="AL1" s="71"/>
      <c r="AM1" s="71"/>
    </row>
    <row r="2" spans="1:52" s="77" customFormat="1" ht="24" customHeight="1">
      <c r="A2" s="72" t="s">
        <v>186</v>
      </c>
      <c r="B2" s="72"/>
      <c r="C2" s="72"/>
      <c r="D2" s="73" t="s">
        <v>113</v>
      </c>
      <c r="E2" s="74"/>
      <c r="F2" s="207" t="s">
        <v>134</v>
      </c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75"/>
      <c r="AA2" s="207" t="s">
        <v>114</v>
      </c>
      <c r="AB2" s="207"/>
      <c r="AC2" s="207"/>
      <c r="AD2" s="96" t="str">
        <f>利用者名簿!G25</f>
        <v>●●●会</v>
      </c>
      <c r="AE2" s="76"/>
      <c r="AF2" s="76"/>
      <c r="AG2" s="76"/>
      <c r="AH2" s="76"/>
      <c r="AI2" s="76"/>
      <c r="AJ2" s="76"/>
      <c r="AK2" s="76"/>
      <c r="AL2" s="93"/>
      <c r="AM2" s="93"/>
    </row>
    <row r="3" spans="1:52" ht="7.5" customHeight="1">
      <c r="A3" s="78"/>
      <c r="B3" s="78"/>
      <c r="C3" s="78"/>
      <c r="D3" s="79"/>
      <c r="E3" s="79"/>
      <c r="F3" s="79"/>
      <c r="G3" s="79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1"/>
      <c r="AA3" s="80"/>
      <c r="AB3" s="80"/>
      <c r="AC3" s="80"/>
      <c r="AD3" s="82"/>
      <c r="AE3" s="82"/>
      <c r="AF3" s="82"/>
      <c r="AG3" s="82"/>
      <c r="AH3" s="82"/>
      <c r="AI3" s="82"/>
      <c r="AJ3" s="82"/>
      <c r="AK3" s="82"/>
      <c r="AL3" s="82"/>
      <c r="AM3" s="82"/>
    </row>
    <row r="4" spans="1:52" ht="25.5" customHeight="1">
      <c r="A4" s="208"/>
      <c r="B4" s="211" t="s">
        <v>115</v>
      </c>
      <c r="C4" s="214" t="s">
        <v>117</v>
      </c>
      <c r="D4" s="216" t="s">
        <v>118</v>
      </c>
      <c r="E4" s="83"/>
      <c r="F4" s="84" t="s">
        <v>119</v>
      </c>
      <c r="G4" s="221">
        <v>4</v>
      </c>
      <c r="H4" s="222"/>
      <c r="I4" s="222"/>
      <c r="J4" s="222"/>
      <c r="K4" s="223"/>
      <c r="L4" s="224">
        <v>5</v>
      </c>
      <c r="M4" s="222"/>
      <c r="N4" s="222"/>
      <c r="O4" s="222"/>
      <c r="P4" s="223"/>
      <c r="Q4" s="224">
        <v>6</v>
      </c>
      <c r="R4" s="222"/>
      <c r="S4" s="222"/>
      <c r="T4" s="222"/>
      <c r="U4" s="223"/>
      <c r="V4" s="224">
        <v>7</v>
      </c>
      <c r="W4" s="222"/>
      <c r="X4" s="222"/>
      <c r="Y4" s="222"/>
      <c r="Z4" s="223"/>
      <c r="AA4" s="224">
        <v>8</v>
      </c>
      <c r="AB4" s="222"/>
      <c r="AC4" s="222"/>
      <c r="AD4" s="222"/>
      <c r="AE4" s="223"/>
      <c r="AF4" s="224">
        <v>9</v>
      </c>
      <c r="AG4" s="222"/>
      <c r="AH4" s="222"/>
      <c r="AI4" s="222"/>
      <c r="AJ4" s="279"/>
    </row>
    <row r="5" spans="1:52" ht="25.5" customHeight="1">
      <c r="A5" s="209"/>
      <c r="B5" s="212"/>
      <c r="C5" s="215"/>
      <c r="D5" s="217"/>
      <c r="E5" s="85"/>
      <c r="F5" s="84" t="s">
        <v>120</v>
      </c>
      <c r="G5" s="125">
        <v>3</v>
      </c>
      <c r="H5" s="126">
        <v>10</v>
      </c>
      <c r="I5" s="125">
        <v>17</v>
      </c>
      <c r="J5" s="126">
        <v>24</v>
      </c>
      <c r="K5" s="127"/>
      <c r="L5" s="125">
        <v>1</v>
      </c>
      <c r="M5" s="126">
        <v>8</v>
      </c>
      <c r="N5" s="126">
        <v>5</v>
      </c>
      <c r="O5" s="126">
        <v>29</v>
      </c>
      <c r="P5" s="128"/>
      <c r="Q5" s="126">
        <v>5</v>
      </c>
      <c r="R5" s="126">
        <v>12</v>
      </c>
      <c r="S5" s="126">
        <v>19</v>
      </c>
      <c r="T5" s="126">
        <v>26</v>
      </c>
      <c r="U5" s="128"/>
      <c r="V5" s="126">
        <v>3</v>
      </c>
      <c r="W5" s="126">
        <v>10</v>
      </c>
      <c r="X5" s="126">
        <v>17</v>
      </c>
      <c r="Y5" s="126">
        <v>24</v>
      </c>
      <c r="Z5" s="126">
        <v>31</v>
      </c>
      <c r="AA5" s="126">
        <v>7</v>
      </c>
      <c r="AB5" s="126">
        <v>14</v>
      </c>
      <c r="AC5" s="126">
        <v>21</v>
      </c>
      <c r="AD5" s="126">
        <v>28</v>
      </c>
      <c r="AE5" s="128"/>
      <c r="AF5" s="126">
        <v>4</v>
      </c>
      <c r="AG5" s="126">
        <v>11</v>
      </c>
      <c r="AH5" s="126">
        <v>18</v>
      </c>
      <c r="AI5" s="126">
        <v>25</v>
      </c>
      <c r="AJ5" s="129"/>
      <c r="AN5" s="280" t="s">
        <v>116</v>
      </c>
      <c r="AO5" s="274" t="s">
        <v>40</v>
      </c>
      <c r="AP5" s="274"/>
      <c r="AQ5" s="274" t="s">
        <v>130</v>
      </c>
      <c r="AR5" s="274"/>
      <c r="AS5" s="274" t="s">
        <v>42</v>
      </c>
      <c r="AT5" s="274"/>
      <c r="AU5" s="274" t="s">
        <v>43</v>
      </c>
      <c r="AV5" s="274"/>
      <c r="AW5" s="274" t="s">
        <v>44</v>
      </c>
      <c r="AX5" s="274"/>
      <c r="AY5" s="274" t="s">
        <v>45</v>
      </c>
      <c r="AZ5" s="274"/>
    </row>
    <row r="6" spans="1:52" ht="25.5" customHeight="1" thickBot="1">
      <c r="A6" s="210"/>
      <c r="B6" s="213"/>
      <c r="C6" s="213"/>
      <c r="D6" s="218"/>
      <c r="E6" s="86"/>
      <c r="F6" s="87" t="s">
        <v>121</v>
      </c>
      <c r="G6" s="130" t="s">
        <v>148</v>
      </c>
      <c r="H6" s="131" t="s">
        <v>148</v>
      </c>
      <c r="I6" s="131" t="s">
        <v>148</v>
      </c>
      <c r="J6" s="131" t="s">
        <v>149</v>
      </c>
      <c r="K6" s="132"/>
      <c r="L6" s="131" t="s">
        <v>149</v>
      </c>
      <c r="M6" s="131" t="s">
        <v>149</v>
      </c>
      <c r="N6" s="131" t="s">
        <v>149</v>
      </c>
      <c r="O6" s="131" t="s">
        <v>149</v>
      </c>
      <c r="P6" s="132"/>
      <c r="Q6" s="131" t="s">
        <v>149</v>
      </c>
      <c r="R6" s="131" t="s">
        <v>149</v>
      </c>
      <c r="S6" s="131" t="s">
        <v>149</v>
      </c>
      <c r="T6" s="131" t="s">
        <v>149</v>
      </c>
      <c r="U6" s="132"/>
      <c r="V6" s="131" t="s">
        <v>149</v>
      </c>
      <c r="W6" s="131" t="s">
        <v>149</v>
      </c>
      <c r="X6" s="131" t="s">
        <v>149</v>
      </c>
      <c r="Y6" s="131" t="s">
        <v>149</v>
      </c>
      <c r="Z6" s="131" t="s">
        <v>149</v>
      </c>
      <c r="AA6" s="131" t="s">
        <v>149</v>
      </c>
      <c r="AB6" s="131" t="s">
        <v>149</v>
      </c>
      <c r="AC6" s="131" t="s">
        <v>149</v>
      </c>
      <c r="AD6" s="131" t="s">
        <v>149</v>
      </c>
      <c r="AE6" s="132"/>
      <c r="AF6" s="131" t="s">
        <v>149</v>
      </c>
      <c r="AG6" s="131" t="s">
        <v>149</v>
      </c>
      <c r="AH6" s="131" t="s">
        <v>149</v>
      </c>
      <c r="AI6" s="131" t="s">
        <v>149</v>
      </c>
      <c r="AJ6" s="133"/>
      <c r="AN6" s="280"/>
      <c r="AO6" s="91" t="s">
        <v>128</v>
      </c>
      <c r="AP6" s="91" t="s">
        <v>129</v>
      </c>
      <c r="AQ6" s="91" t="s">
        <v>128</v>
      </c>
      <c r="AR6" s="91" t="s">
        <v>129</v>
      </c>
      <c r="AS6" s="91" t="s">
        <v>128</v>
      </c>
      <c r="AT6" s="91" t="s">
        <v>129</v>
      </c>
      <c r="AU6" s="91" t="s">
        <v>128</v>
      </c>
      <c r="AV6" s="91" t="s">
        <v>129</v>
      </c>
      <c r="AW6" s="91" t="s">
        <v>128</v>
      </c>
      <c r="AX6" s="91" t="s">
        <v>129</v>
      </c>
      <c r="AY6" s="91" t="s">
        <v>128</v>
      </c>
      <c r="AZ6" s="91" t="s">
        <v>129</v>
      </c>
    </row>
    <row r="7" spans="1:52" ht="32.25" customHeight="1" thickTop="1">
      <c r="A7" s="227">
        <v>1</v>
      </c>
      <c r="B7" s="120" t="s">
        <v>135</v>
      </c>
      <c r="C7" s="231"/>
      <c r="D7" s="233" t="s">
        <v>122</v>
      </c>
      <c r="E7" s="234"/>
      <c r="F7" s="235"/>
      <c r="G7" s="239" t="s">
        <v>155</v>
      </c>
      <c r="H7" s="219" t="s">
        <v>147</v>
      </c>
      <c r="I7" s="219" t="s">
        <v>147</v>
      </c>
      <c r="J7" s="219" t="s">
        <v>147</v>
      </c>
      <c r="K7" s="219" t="s">
        <v>147</v>
      </c>
      <c r="L7" s="219" t="s">
        <v>147</v>
      </c>
      <c r="M7" s="219" t="s">
        <v>147</v>
      </c>
      <c r="N7" s="219" t="s">
        <v>147</v>
      </c>
      <c r="O7" s="219" t="s">
        <v>147</v>
      </c>
      <c r="P7" s="219"/>
      <c r="Q7" s="219"/>
      <c r="R7" s="219"/>
      <c r="S7" s="219"/>
      <c r="T7" s="219"/>
      <c r="U7" s="219"/>
      <c r="V7" s="219" t="s">
        <v>147</v>
      </c>
      <c r="W7" s="219" t="s">
        <v>147</v>
      </c>
      <c r="X7" s="219" t="s">
        <v>147</v>
      </c>
      <c r="Y7" s="219" t="s">
        <v>147</v>
      </c>
      <c r="Z7" s="219" t="s">
        <v>147</v>
      </c>
      <c r="AA7" s="219" t="s">
        <v>147</v>
      </c>
      <c r="AB7" s="219" t="s">
        <v>147</v>
      </c>
      <c r="AC7" s="219" t="s">
        <v>147</v>
      </c>
      <c r="AD7" s="219" t="s">
        <v>147</v>
      </c>
      <c r="AE7" s="219"/>
      <c r="AF7" s="219" t="s">
        <v>147</v>
      </c>
      <c r="AG7" s="219" t="s">
        <v>147</v>
      </c>
      <c r="AH7" s="219" t="s">
        <v>147</v>
      </c>
      <c r="AI7" s="219" t="s">
        <v>147</v>
      </c>
      <c r="AJ7" s="245"/>
      <c r="AN7" s="229" t="str">
        <f>VLOOKUP(B7,利用者名簿!$B:$D,3,FALSE)</f>
        <v>〇</v>
      </c>
      <c r="AO7" s="274" t="str">
        <f>IF(COUNTIF(G7:K8, "○") &gt; 0, "〇", "")</f>
        <v>〇</v>
      </c>
      <c r="AP7" s="274" t="str">
        <f>IF(AND(AO7="〇", AN7="〇" ), "対象", "")</f>
        <v>対象</v>
      </c>
      <c r="AQ7" s="274" t="str">
        <f>IF(COUNTIF(L7:P8, "○") &gt; 0, "〇", "")</f>
        <v>〇</v>
      </c>
      <c r="AR7" s="274" t="str">
        <f>IF(AND(AQ7="〇", AN7="〇" ), "対象", "")</f>
        <v>対象</v>
      </c>
      <c r="AS7" s="274" t="str">
        <f>IF(COUNTIF(Q7:U8, "○") &gt; 0, "〇", "")</f>
        <v/>
      </c>
      <c r="AT7" s="274" t="str">
        <f>IF(AND(AS7="〇", AN7="〇" ), "対象", "")</f>
        <v/>
      </c>
      <c r="AU7" s="274" t="str">
        <f>IF(COUNTIF(V7:Z8, "○") &gt; 0, "〇", "")</f>
        <v>〇</v>
      </c>
      <c r="AV7" s="274" t="str">
        <f>IF(AND(AU7="〇", AN7="〇" ), "対象", "")</f>
        <v>対象</v>
      </c>
      <c r="AW7" s="274" t="str">
        <f>IF(COUNTIF(AA7:AE8, "○") &gt; 0, "〇", "")</f>
        <v>〇</v>
      </c>
      <c r="AX7" s="274" t="str">
        <f>IF(AND(AW7="〇", AN7="〇" ), "対象", "")</f>
        <v>対象</v>
      </c>
      <c r="AY7" s="274" t="str">
        <f>IF(COUNTIF(AF7:AJ8, "○") &gt; 0, "〇", "")</f>
        <v>〇</v>
      </c>
      <c r="AZ7" s="274" t="str">
        <f>IF(AND(AY7="〇", AN7="〇" ), "対象", "")</f>
        <v>対象</v>
      </c>
    </row>
    <row r="8" spans="1:52" ht="24" customHeight="1">
      <c r="A8" s="228"/>
      <c r="B8" s="121" t="s">
        <v>150</v>
      </c>
      <c r="C8" s="232"/>
      <c r="D8" s="236"/>
      <c r="E8" s="237"/>
      <c r="F8" s="238"/>
      <c r="G8" s="24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46"/>
      <c r="AN8" s="230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</row>
    <row r="9" spans="1:52" ht="32.25" customHeight="1">
      <c r="A9" s="243">
        <v>2</v>
      </c>
      <c r="B9" s="122" t="s">
        <v>137</v>
      </c>
      <c r="C9" s="247"/>
      <c r="D9" s="249" t="s">
        <v>122</v>
      </c>
      <c r="E9" s="250"/>
      <c r="F9" s="251"/>
      <c r="G9" s="252" t="s">
        <v>147</v>
      </c>
      <c r="H9" s="225"/>
      <c r="I9" s="225" t="s">
        <v>147</v>
      </c>
      <c r="J9" s="225" t="s">
        <v>147</v>
      </c>
      <c r="K9" s="225" t="s">
        <v>147</v>
      </c>
      <c r="L9" s="225" t="s">
        <v>147</v>
      </c>
      <c r="M9" s="225" t="s">
        <v>147</v>
      </c>
      <c r="N9" s="225" t="s">
        <v>147</v>
      </c>
      <c r="O9" s="225" t="s">
        <v>147</v>
      </c>
      <c r="P9" s="225"/>
      <c r="Q9" s="225" t="s">
        <v>147</v>
      </c>
      <c r="R9" s="225" t="s">
        <v>147</v>
      </c>
      <c r="S9" s="225" t="s">
        <v>147</v>
      </c>
      <c r="T9" s="225" t="s">
        <v>147</v>
      </c>
      <c r="U9" s="225"/>
      <c r="V9" s="225" t="s">
        <v>147</v>
      </c>
      <c r="W9" s="225" t="s">
        <v>147</v>
      </c>
      <c r="X9" s="225" t="s">
        <v>147</v>
      </c>
      <c r="Y9" s="225" t="s">
        <v>147</v>
      </c>
      <c r="Z9" s="225" t="s">
        <v>147</v>
      </c>
      <c r="AA9" s="225" t="s">
        <v>147</v>
      </c>
      <c r="AB9" s="225" t="s">
        <v>147</v>
      </c>
      <c r="AC9" s="225" t="s">
        <v>147</v>
      </c>
      <c r="AD9" s="225" t="s">
        <v>147</v>
      </c>
      <c r="AE9" s="225"/>
      <c r="AF9" s="225" t="s">
        <v>147</v>
      </c>
      <c r="AG9" s="225" t="s">
        <v>147</v>
      </c>
      <c r="AH9" s="225" t="s">
        <v>147</v>
      </c>
      <c r="AI9" s="225" t="s">
        <v>147</v>
      </c>
      <c r="AJ9" s="241"/>
      <c r="AN9" s="254" t="str">
        <f>VLOOKUP(B9,利用者名簿!$B:$D,3,FALSE)</f>
        <v>〇</v>
      </c>
      <c r="AO9" s="274" t="str">
        <f t="shared" ref="AO9" si="0">IF(COUNTIF(G9:K10, "○") &gt; 0, "〇", "")</f>
        <v>〇</v>
      </c>
      <c r="AP9" s="274" t="str">
        <f>IF(AND(AO9="〇", AN9="〇" ), "対象", "")</f>
        <v>対象</v>
      </c>
      <c r="AQ9" s="274" t="str">
        <f t="shared" ref="AQ9" si="1">IF(COUNTIF(L9:P10, "○") &gt; 0, "〇", "")</f>
        <v>〇</v>
      </c>
      <c r="AR9" s="274" t="str">
        <f>IF(AND(AQ9="〇", AN9="〇" ), "対象", "")</f>
        <v>対象</v>
      </c>
      <c r="AS9" s="274" t="str">
        <f t="shared" ref="AS9" si="2">IF(COUNTIF(Q9:U10, "○") &gt; 0, "〇", "")</f>
        <v>〇</v>
      </c>
      <c r="AT9" s="274" t="str">
        <f>IF(AND(AS9="〇", AN9="〇" ), "対象", "")</f>
        <v>対象</v>
      </c>
      <c r="AU9" s="274" t="str">
        <f t="shared" ref="AU9" si="3">IF(COUNTIF(V9:Z10, "○") &gt; 0, "〇", "")</f>
        <v>〇</v>
      </c>
      <c r="AV9" s="274" t="str">
        <f>IF(AND(AU9="〇", AN9="〇" ), "対象", "")</f>
        <v>対象</v>
      </c>
      <c r="AW9" s="274" t="str">
        <f t="shared" ref="AW9" si="4">IF(COUNTIF(AA9:AE10, "○") &gt; 0, "〇", "")</f>
        <v>〇</v>
      </c>
      <c r="AX9" s="274" t="str">
        <f>IF(AND(AW9="〇", AN9="〇" ), "対象", "")</f>
        <v>対象</v>
      </c>
      <c r="AY9" s="274" t="str">
        <f t="shared" ref="AY9" si="5">IF(COUNTIF(AF9:AJ10, "○") &gt; 0, "〇", "")</f>
        <v>〇</v>
      </c>
      <c r="AZ9" s="274" t="str">
        <f>IF(AND(AY9="〇", AN9="〇" ), "対象", "")</f>
        <v>対象</v>
      </c>
    </row>
    <row r="10" spans="1:52" ht="24" customHeight="1">
      <c r="A10" s="244"/>
      <c r="B10" s="121" t="s">
        <v>151</v>
      </c>
      <c r="C10" s="248"/>
      <c r="D10" s="236"/>
      <c r="E10" s="237"/>
      <c r="F10" s="238"/>
      <c r="G10" s="253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42"/>
      <c r="AN10" s="230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</row>
    <row r="11" spans="1:52" ht="32.25" customHeight="1">
      <c r="A11" s="243">
        <v>3</v>
      </c>
      <c r="B11" s="122" t="s">
        <v>138</v>
      </c>
      <c r="C11" s="247"/>
      <c r="D11" s="249" t="s">
        <v>122</v>
      </c>
      <c r="E11" s="250"/>
      <c r="F11" s="251"/>
      <c r="G11" s="252" t="s">
        <v>147</v>
      </c>
      <c r="H11" s="225" t="s">
        <v>147</v>
      </c>
      <c r="I11" s="225"/>
      <c r="J11" s="225" t="s">
        <v>147</v>
      </c>
      <c r="K11" s="225" t="s">
        <v>147</v>
      </c>
      <c r="L11" s="225" t="s">
        <v>147</v>
      </c>
      <c r="M11" s="225" t="s">
        <v>147</v>
      </c>
      <c r="N11" s="225" t="s">
        <v>147</v>
      </c>
      <c r="O11" s="225" t="s">
        <v>147</v>
      </c>
      <c r="P11" s="225"/>
      <c r="Q11" s="225" t="s">
        <v>147</v>
      </c>
      <c r="R11" s="225" t="s">
        <v>147</v>
      </c>
      <c r="S11" s="225" t="s">
        <v>147</v>
      </c>
      <c r="T11" s="225" t="s">
        <v>147</v>
      </c>
      <c r="U11" s="225"/>
      <c r="V11" s="225" t="s">
        <v>147</v>
      </c>
      <c r="W11" s="225" t="s">
        <v>147</v>
      </c>
      <c r="X11" s="225" t="s">
        <v>147</v>
      </c>
      <c r="Y11" s="225" t="s">
        <v>147</v>
      </c>
      <c r="Z11" s="225" t="s">
        <v>147</v>
      </c>
      <c r="AA11" s="225" t="s">
        <v>147</v>
      </c>
      <c r="AB11" s="225" t="s">
        <v>147</v>
      </c>
      <c r="AC11" s="225" t="s">
        <v>147</v>
      </c>
      <c r="AD11" s="225" t="s">
        <v>147</v>
      </c>
      <c r="AE11" s="225"/>
      <c r="AF11" s="225" t="s">
        <v>147</v>
      </c>
      <c r="AG11" s="225" t="s">
        <v>147</v>
      </c>
      <c r="AH11" s="225" t="s">
        <v>147</v>
      </c>
      <c r="AI11" s="225" t="s">
        <v>147</v>
      </c>
      <c r="AJ11" s="241"/>
      <c r="AN11" s="254" t="str">
        <f>VLOOKUP(B11,利用者名簿!$B:$D,3,FALSE)</f>
        <v>〇</v>
      </c>
      <c r="AO11" s="274" t="str">
        <f t="shared" ref="AO11" si="6">IF(COUNTIF(G11:K12, "○") &gt; 0, "〇", "")</f>
        <v>〇</v>
      </c>
      <c r="AP11" s="274" t="str">
        <f>IF(AND(AO11="〇", AN11="〇" ), "対象", "")</f>
        <v>対象</v>
      </c>
      <c r="AQ11" s="274" t="str">
        <f t="shared" ref="AQ11" si="7">IF(COUNTIF(L11:P12, "○") &gt; 0, "〇", "")</f>
        <v>〇</v>
      </c>
      <c r="AR11" s="274" t="str">
        <f>IF(AND(AQ11="〇", AN11="〇" ), "対象", "")</f>
        <v>対象</v>
      </c>
      <c r="AS11" s="274" t="str">
        <f t="shared" ref="AS11" si="8">IF(COUNTIF(Q11:U12, "○") &gt; 0, "〇", "")</f>
        <v>〇</v>
      </c>
      <c r="AT11" s="274" t="str">
        <f>IF(AND(AS11="〇", AN11="〇" ), "対象", "")</f>
        <v>対象</v>
      </c>
      <c r="AU11" s="274" t="str">
        <f t="shared" ref="AU11" si="9">IF(COUNTIF(V11:Z12, "○") &gt; 0, "〇", "")</f>
        <v>〇</v>
      </c>
      <c r="AV11" s="274" t="str">
        <f>IF(AND(AU11="〇", AN11="〇" ), "対象", "")</f>
        <v>対象</v>
      </c>
      <c r="AW11" s="274" t="str">
        <f t="shared" ref="AW11" si="10">IF(COUNTIF(AA11:AE12, "○") &gt; 0, "〇", "")</f>
        <v>〇</v>
      </c>
      <c r="AX11" s="274" t="str">
        <f>IF(AND(AW11="〇", AN11="〇" ), "対象", "")</f>
        <v>対象</v>
      </c>
      <c r="AY11" s="274" t="str">
        <f t="shared" ref="AY11" si="11">IF(COUNTIF(AF11:AJ12, "○") &gt; 0, "〇", "")</f>
        <v>〇</v>
      </c>
      <c r="AZ11" s="274" t="str">
        <f>IF(AND(AY11="〇", AN11="〇" ), "対象", "")</f>
        <v>対象</v>
      </c>
    </row>
    <row r="12" spans="1:52" ht="24" customHeight="1">
      <c r="A12" s="244"/>
      <c r="B12" s="121" t="s">
        <v>152</v>
      </c>
      <c r="C12" s="248"/>
      <c r="D12" s="236"/>
      <c r="E12" s="237"/>
      <c r="F12" s="238"/>
      <c r="G12" s="253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42"/>
      <c r="AN12" s="230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</row>
    <row r="13" spans="1:52" ht="32.25" customHeight="1">
      <c r="A13" s="243">
        <v>4</v>
      </c>
      <c r="B13" s="122" t="s">
        <v>139</v>
      </c>
      <c r="C13" s="247"/>
      <c r="D13" s="249" t="s">
        <v>122</v>
      </c>
      <c r="E13" s="250"/>
      <c r="F13" s="251"/>
      <c r="G13" s="252" t="s">
        <v>147</v>
      </c>
      <c r="H13" s="225" t="s">
        <v>147</v>
      </c>
      <c r="I13" s="225" t="s">
        <v>147</v>
      </c>
      <c r="J13" s="225"/>
      <c r="K13" s="225" t="s">
        <v>147</v>
      </c>
      <c r="L13" s="225" t="s">
        <v>147</v>
      </c>
      <c r="M13" s="225" t="s">
        <v>147</v>
      </c>
      <c r="N13" s="225" t="s">
        <v>147</v>
      </c>
      <c r="O13" s="225" t="s">
        <v>147</v>
      </c>
      <c r="P13" s="225"/>
      <c r="Q13" s="225" t="s">
        <v>147</v>
      </c>
      <c r="R13" s="225" t="s">
        <v>147</v>
      </c>
      <c r="S13" s="225" t="s">
        <v>147</v>
      </c>
      <c r="T13" s="225" t="s">
        <v>147</v>
      </c>
      <c r="U13" s="225"/>
      <c r="V13" s="225" t="s">
        <v>147</v>
      </c>
      <c r="W13" s="225" t="s">
        <v>147</v>
      </c>
      <c r="X13" s="225" t="s">
        <v>147</v>
      </c>
      <c r="Y13" s="225" t="s">
        <v>147</v>
      </c>
      <c r="Z13" s="225" t="s">
        <v>147</v>
      </c>
      <c r="AA13" s="225" t="s">
        <v>147</v>
      </c>
      <c r="AB13" s="225" t="s">
        <v>147</v>
      </c>
      <c r="AC13" s="225" t="s">
        <v>147</v>
      </c>
      <c r="AD13" s="225" t="s">
        <v>147</v>
      </c>
      <c r="AE13" s="225"/>
      <c r="AF13" s="225" t="s">
        <v>147</v>
      </c>
      <c r="AG13" s="225" t="s">
        <v>147</v>
      </c>
      <c r="AH13" s="225" t="s">
        <v>147</v>
      </c>
      <c r="AI13" s="225" t="s">
        <v>147</v>
      </c>
      <c r="AJ13" s="241"/>
      <c r="AN13" s="254" t="str">
        <f>VLOOKUP(B13,利用者名簿!$B:$D,3,FALSE)</f>
        <v>〇</v>
      </c>
      <c r="AO13" s="274" t="str">
        <f t="shared" ref="AO13" si="12">IF(COUNTIF(G13:K14, "○") &gt; 0, "〇", "")</f>
        <v>〇</v>
      </c>
      <c r="AP13" s="274" t="str">
        <f>IF(AND(AO13="〇", AN13="〇" ), "対象", "")</f>
        <v>対象</v>
      </c>
      <c r="AQ13" s="274" t="str">
        <f t="shared" ref="AQ13" si="13">IF(COUNTIF(L13:P14, "○") &gt; 0, "〇", "")</f>
        <v>〇</v>
      </c>
      <c r="AR13" s="274" t="str">
        <f>IF(AND(AQ13="〇", AN13="〇" ), "対象", "")</f>
        <v>対象</v>
      </c>
      <c r="AS13" s="274" t="str">
        <f t="shared" ref="AS13" si="14">IF(COUNTIF(Q13:U14, "○") &gt; 0, "〇", "")</f>
        <v>〇</v>
      </c>
      <c r="AT13" s="274" t="str">
        <f>IF(AND(AS13="〇", AN13="〇" ), "対象", "")</f>
        <v>対象</v>
      </c>
      <c r="AU13" s="274" t="str">
        <f t="shared" ref="AU13" si="15">IF(COUNTIF(V13:Z14, "○") &gt; 0, "〇", "")</f>
        <v>〇</v>
      </c>
      <c r="AV13" s="274" t="str">
        <f>IF(AND(AU13="〇", AN13="〇" ), "対象", "")</f>
        <v>対象</v>
      </c>
      <c r="AW13" s="274" t="str">
        <f t="shared" ref="AW13" si="16">IF(COUNTIF(AA13:AE14, "○") &gt; 0, "〇", "")</f>
        <v>〇</v>
      </c>
      <c r="AX13" s="274" t="str">
        <f>IF(AND(AW13="〇", AN13="〇" ), "対象", "")</f>
        <v>対象</v>
      </c>
      <c r="AY13" s="274" t="str">
        <f t="shared" ref="AY13" si="17">IF(COUNTIF(AF13:AJ14, "○") &gt; 0, "〇", "")</f>
        <v>〇</v>
      </c>
      <c r="AZ13" s="274" t="str">
        <f>IF(AND(AY13="〇", AN13="〇" ), "対象", "")</f>
        <v>対象</v>
      </c>
    </row>
    <row r="14" spans="1:52" ht="24" customHeight="1">
      <c r="A14" s="244"/>
      <c r="B14" s="121" t="s">
        <v>153</v>
      </c>
      <c r="C14" s="248"/>
      <c r="D14" s="236"/>
      <c r="E14" s="237"/>
      <c r="F14" s="238"/>
      <c r="G14" s="253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42"/>
      <c r="AN14" s="230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</row>
    <row r="15" spans="1:52" ht="32.25" customHeight="1">
      <c r="A15" s="243">
        <v>5</v>
      </c>
      <c r="B15" s="122" t="s">
        <v>140</v>
      </c>
      <c r="C15" s="247"/>
      <c r="D15" s="249" t="s">
        <v>122</v>
      </c>
      <c r="E15" s="250"/>
      <c r="F15" s="251"/>
      <c r="G15" s="252" t="s">
        <v>147</v>
      </c>
      <c r="H15" s="225" t="s">
        <v>147</v>
      </c>
      <c r="I15" s="225" t="s">
        <v>147</v>
      </c>
      <c r="J15" s="225" t="s">
        <v>147</v>
      </c>
      <c r="K15" s="225"/>
      <c r="L15" s="225" t="s">
        <v>147</v>
      </c>
      <c r="M15" s="225" t="s">
        <v>147</v>
      </c>
      <c r="N15" s="225" t="s">
        <v>147</v>
      </c>
      <c r="O15" s="225" t="s">
        <v>147</v>
      </c>
      <c r="P15" s="225"/>
      <c r="Q15" s="225" t="s">
        <v>147</v>
      </c>
      <c r="R15" s="225" t="s">
        <v>147</v>
      </c>
      <c r="S15" s="225" t="s">
        <v>147</v>
      </c>
      <c r="T15" s="225" t="s">
        <v>147</v>
      </c>
      <c r="U15" s="225"/>
      <c r="V15" s="225" t="s">
        <v>147</v>
      </c>
      <c r="W15" s="225" t="s">
        <v>147</v>
      </c>
      <c r="X15" s="225" t="s">
        <v>147</v>
      </c>
      <c r="Y15" s="225" t="s">
        <v>147</v>
      </c>
      <c r="Z15" s="225" t="s">
        <v>147</v>
      </c>
      <c r="AA15" s="225" t="s">
        <v>147</v>
      </c>
      <c r="AB15" s="225" t="s">
        <v>147</v>
      </c>
      <c r="AC15" s="225" t="s">
        <v>147</v>
      </c>
      <c r="AD15" s="225" t="s">
        <v>147</v>
      </c>
      <c r="AE15" s="225"/>
      <c r="AF15" s="225" t="s">
        <v>147</v>
      </c>
      <c r="AG15" s="225" t="s">
        <v>147</v>
      </c>
      <c r="AH15" s="225" t="s">
        <v>147</v>
      </c>
      <c r="AI15" s="225" t="s">
        <v>147</v>
      </c>
      <c r="AJ15" s="241"/>
      <c r="AN15" s="254" t="str">
        <f>VLOOKUP(B15,利用者名簿!$B:$D,3,FALSE)</f>
        <v>〇</v>
      </c>
      <c r="AO15" s="274" t="str">
        <f t="shared" ref="AO15" si="18">IF(COUNTIF(G15:K16, "○") &gt; 0, "〇", "")</f>
        <v>〇</v>
      </c>
      <c r="AP15" s="274" t="str">
        <f>IF(AND(AO15="〇", AN15="〇" ), "対象", "")</f>
        <v>対象</v>
      </c>
      <c r="AQ15" s="274" t="str">
        <f t="shared" ref="AQ15" si="19">IF(COUNTIF(L15:P16, "○") &gt; 0, "〇", "")</f>
        <v>〇</v>
      </c>
      <c r="AR15" s="274" t="str">
        <f>IF(AND(AQ15="〇", AN15="〇" ), "対象", "")</f>
        <v>対象</v>
      </c>
      <c r="AS15" s="274" t="str">
        <f t="shared" ref="AS15" si="20">IF(COUNTIF(Q15:U16, "○") &gt; 0, "〇", "")</f>
        <v>〇</v>
      </c>
      <c r="AT15" s="274" t="str">
        <f>IF(AND(AS15="〇", AN15="〇" ), "対象", "")</f>
        <v>対象</v>
      </c>
      <c r="AU15" s="274" t="str">
        <f t="shared" ref="AU15" si="21">IF(COUNTIF(V15:Z16, "○") &gt; 0, "〇", "")</f>
        <v>〇</v>
      </c>
      <c r="AV15" s="274" t="str">
        <f>IF(AND(AU15="〇", AN15="〇" ), "対象", "")</f>
        <v>対象</v>
      </c>
      <c r="AW15" s="274" t="str">
        <f t="shared" ref="AW15" si="22">IF(COUNTIF(AA15:AE16, "○") &gt; 0, "〇", "")</f>
        <v>〇</v>
      </c>
      <c r="AX15" s="274" t="str">
        <f>IF(AND(AW15="〇", AN15="〇" ), "対象", "")</f>
        <v>対象</v>
      </c>
      <c r="AY15" s="274" t="str">
        <f t="shared" ref="AY15" si="23">IF(COUNTIF(AF15:AJ16, "○") &gt; 0, "〇", "")</f>
        <v>〇</v>
      </c>
      <c r="AZ15" s="274" t="str">
        <f>IF(AND(AY15="〇", AN15="〇" ), "対象", "")</f>
        <v>対象</v>
      </c>
    </row>
    <row r="16" spans="1:52" ht="24" customHeight="1">
      <c r="A16" s="244"/>
      <c r="B16" s="121" t="s">
        <v>154</v>
      </c>
      <c r="C16" s="248"/>
      <c r="D16" s="236"/>
      <c r="E16" s="237"/>
      <c r="F16" s="238"/>
      <c r="G16" s="253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42"/>
      <c r="AN16" s="230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</row>
    <row r="17" spans="1:52" ht="32.25" customHeight="1">
      <c r="A17" s="243">
        <v>6</v>
      </c>
      <c r="B17" s="122" t="s">
        <v>141</v>
      </c>
      <c r="C17" s="247"/>
      <c r="D17" s="249" t="s">
        <v>122</v>
      </c>
      <c r="E17" s="250"/>
      <c r="F17" s="251"/>
      <c r="G17" s="252" t="s">
        <v>147</v>
      </c>
      <c r="H17" s="225" t="s">
        <v>147</v>
      </c>
      <c r="I17" s="225" t="s">
        <v>147</v>
      </c>
      <c r="J17" s="225" t="s">
        <v>147</v>
      </c>
      <c r="K17" s="225" t="s">
        <v>147</v>
      </c>
      <c r="L17" s="225"/>
      <c r="M17" s="225" t="s">
        <v>147</v>
      </c>
      <c r="N17" s="225" t="s">
        <v>147</v>
      </c>
      <c r="O17" s="225"/>
      <c r="P17" s="225"/>
      <c r="Q17" s="225" t="s">
        <v>147</v>
      </c>
      <c r="R17" s="225" t="s">
        <v>147</v>
      </c>
      <c r="S17" s="225" t="s">
        <v>147</v>
      </c>
      <c r="T17" s="225" t="s">
        <v>147</v>
      </c>
      <c r="U17" s="225"/>
      <c r="V17" s="225" t="s">
        <v>147</v>
      </c>
      <c r="W17" s="225" t="s">
        <v>147</v>
      </c>
      <c r="X17" s="225"/>
      <c r="Y17" s="225" t="s">
        <v>147</v>
      </c>
      <c r="Z17" s="225" t="s">
        <v>147</v>
      </c>
      <c r="AA17" s="225" t="s">
        <v>147</v>
      </c>
      <c r="AB17" s="225" t="s">
        <v>147</v>
      </c>
      <c r="AC17" s="225" t="s">
        <v>147</v>
      </c>
      <c r="AD17" s="225" t="s">
        <v>147</v>
      </c>
      <c r="AE17" s="225"/>
      <c r="AF17" s="225" t="s">
        <v>147</v>
      </c>
      <c r="AG17" s="225" t="s">
        <v>147</v>
      </c>
      <c r="AH17" s="225" t="s">
        <v>147</v>
      </c>
      <c r="AI17" s="225" t="s">
        <v>147</v>
      </c>
      <c r="AJ17" s="241"/>
      <c r="AN17" s="254" t="str">
        <f>VLOOKUP(B17,利用者名簿!$B:$D,3,FALSE)</f>
        <v/>
      </c>
      <c r="AO17" s="274" t="str">
        <f t="shared" ref="AO17" si="24">IF(COUNTIF(G17:K18, "○") &gt; 0, "〇", "")</f>
        <v>〇</v>
      </c>
      <c r="AP17" s="274" t="str">
        <f>IF(AND(AO17="〇", AN17="〇" ), "対象", "")</f>
        <v/>
      </c>
      <c r="AQ17" s="274" t="str">
        <f t="shared" ref="AQ17" si="25">IF(COUNTIF(L17:P18, "○") &gt; 0, "〇", "")</f>
        <v>〇</v>
      </c>
      <c r="AR17" s="274" t="str">
        <f>IF(AND(AQ17="〇", AN17="〇" ), "対象", "")</f>
        <v/>
      </c>
      <c r="AS17" s="274" t="str">
        <f t="shared" ref="AS17" si="26">IF(COUNTIF(Q17:U18, "○") &gt; 0, "〇", "")</f>
        <v>〇</v>
      </c>
      <c r="AT17" s="274" t="str">
        <f>IF(AND(AS17="〇", AN17="〇" ), "対象", "")</f>
        <v/>
      </c>
      <c r="AU17" s="274" t="str">
        <f t="shared" ref="AU17" si="27">IF(COUNTIF(V17:Z18, "○") &gt; 0, "〇", "")</f>
        <v>〇</v>
      </c>
      <c r="AV17" s="274" t="str">
        <f>IF(AND(AU17="〇", AN17="〇" ), "対象", "")</f>
        <v/>
      </c>
      <c r="AW17" s="274" t="str">
        <f t="shared" ref="AW17" si="28">IF(COUNTIF(AA17:AE18, "○") &gt; 0, "〇", "")</f>
        <v>〇</v>
      </c>
      <c r="AX17" s="274" t="str">
        <f>IF(AND(AW17="〇", AN17="〇" ), "対象", "")</f>
        <v/>
      </c>
      <c r="AY17" s="274" t="str">
        <f t="shared" ref="AY17" si="29">IF(COUNTIF(AF17:AJ18, "○") &gt; 0, "〇", "")</f>
        <v>〇</v>
      </c>
      <c r="AZ17" s="274" t="str">
        <f>IF(AND(AY17="〇", AN17="〇" ), "対象", "")</f>
        <v/>
      </c>
    </row>
    <row r="18" spans="1:52" ht="24" customHeight="1">
      <c r="A18" s="244"/>
      <c r="B18" s="121" t="s">
        <v>123</v>
      </c>
      <c r="C18" s="248"/>
      <c r="D18" s="236"/>
      <c r="E18" s="237"/>
      <c r="F18" s="238"/>
      <c r="G18" s="255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78"/>
      <c r="AN18" s="230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</row>
    <row r="19" spans="1:52" ht="32.25" customHeight="1">
      <c r="A19" s="243">
        <v>7</v>
      </c>
      <c r="B19" s="122" t="s">
        <v>142</v>
      </c>
      <c r="C19" s="247"/>
      <c r="D19" s="249" t="s">
        <v>122</v>
      </c>
      <c r="E19" s="250"/>
      <c r="F19" s="251"/>
      <c r="G19" s="252" t="s">
        <v>147</v>
      </c>
      <c r="H19" s="225" t="s">
        <v>147</v>
      </c>
      <c r="I19" s="225" t="s">
        <v>147</v>
      </c>
      <c r="J19" s="225" t="s">
        <v>147</v>
      </c>
      <c r="K19" s="225" t="s">
        <v>147</v>
      </c>
      <c r="L19" s="225" t="s">
        <v>147</v>
      </c>
      <c r="M19" s="225"/>
      <c r="N19" s="225" t="s">
        <v>147</v>
      </c>
      <c r="O19" s="225"/>
      <c r="P19" s="225"/>
      <c r="Q19" s="225" t="s">
        <v>147</v>
      </c>
      <c r="R19" s="225" t="s">
        <v>147</v>
      </c>
      <c r="S19" s="225" t="s">
        <v>147</v>
      </c>
      <c r="T19" s="225" t="s">
        <v>147</v>
      </c>
      <c r="U19" s="225"/>
      <c r="V19" s="225" t="s">
        <v>147</v>
      </c>
      <c r="W19" s="225" t="s">
        <v>147</v>
      </c>
      <c r="X19" s="225"/>
      <c r="Y19" s="225" t="s">
        <v>147</v>
      </c>
      <c r="Z19" s="225" t="s">
        <v>147</v>
      </c>
      <c r="AA19" s="225" t="s">
        <v>147</v>
      </c>
      <c r="AB19" s="225" t="s">
        <v>147</v>
      </c>
      <c r="AC19" s="225" t="s">
        <v>147</v>
      </c>
      <c r="AD19" s="225" t="s">
        <v>147</v>
      </c>
      <c r="AE19" s="225"/>
      <c r="AF19" s="225" t="s">
        <v>147</v>
      </c>
      <c r="AG19" s="225" t="s">
        <v>147</v>
      </c>
      <c r="AH19" s="225" t="s">
        <v>147</v>
      </c>
      <c r="AI19" s="225" t="s">
        <v>147</v>
      </c>
      <c r="AJ19" s="241"/>
      <c r="AN19" s="254" t="str">
        <f>VLOOKUP(B19,利用者名簿!$B:$D,3,FALSE)</f>
        <v/>
      </c>
      <c r="AO19" s="274" t="str">
        <f t="shared" ref="AO19" si="30">IF(COUNTIF(G19:K20, "○") &gt; 0, "〇", "")</f>
        <v>〇</v>
      </c>
      <c r="AP19" s="274" t="str">
        <f>IF(AND(AO19="〇", AN19="〇" ), "対象", "")</f>
        <v/>
      </c>
      <c r="AQ19" s="274" t="str">
        <f t="shared" ref="AQ19" si="31">IF(COUNTIF(L19:P20, "○") &gt; 0, "〇", "")</f>
        <v>〇</v>
      </c>
      <c r="AR19" s="274" t="str">
        <f>IF(AND(AQ19="〇", AN19="〇" ), "対象", "")</f>
        <v/>
      </c>
      <c r="AS19" s="274" t="str">
        <f t="shared" ref="AS19" si="32">IF(COUNTIF(Q19:U20, "○") &gt; 0, "〇", "")</f>
        <v>〇</v>
      </c>
      <c r="AT19" s="274" t="str">
        <f>IF(AND(AS19="〇", AN19="〇" ), "対象", "")</f>
        <v/>
      </c>
      <c r="AU19" s="274" t="str">
        <f t="shared" ref="AU19" si="33">IF(COUNTIF(V19:Z20, "○") &gt; 0, "〇", "")</f>
        <v>〇</v>
      </c>
      <c r="AV19" s="274" t="str">
        <f>IF(AND(AU19="〇", AN19="〇" ), "対象", "")</f>
        <v/>
      </c>
      <c r="AW19" s="274" t="str">
        <f t="shared" ref="AW19" si="34">IF(COUNTIF(AA19:AE20, "○") &gt; 0, "〇", "")</f>
        <v>〇</v>
      </c>
      <c r="AX19" s="274" t="str">
        <f>IF(AND(AW19="〇", AN19="〇" ), "対象", "")</f>
        <v/>
      </c>
      <c r="AY19" s="274" t="str">
        <f t="shared" ref="AY19" si="35">IF(COUNTIF(AF19:AJ20, "○") &gt; 0, "〇", "")</f>
        <v>〇</v>
      </c>
      <c r="AZ19" s="274" t="str">
        <f>IF(AND(AY19="〇", AN19="〇" ), "対象", "")</f>
        <v/>
      </c>
    </row>
    <row r="20" spans="1:52" ht="24" customHeight="1">
      <c r="A20" s="244"/>
      <c r="B20" s="121" t="s">
        <v>123</v>
      </c>
      <c r="C20" s="248"/>
      <c r="D20" s="236"/>
      <c r="E20" s="237"/>
      <c r="F20" s="238"/>
      <c r="G20" s="255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78"/>
      <c r="AN20" s="230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</row>
    <row r="21" spans="1:52" ht="32.25" customHeight="1">
      <c r="A21" s="243">
        <v>8</v>
      </c>
      <c r="B21" s="123"/>
      <c r="C21" s="247"/>
      <c r="D21" s="249" t="s">
        <v>122</v>
      </c>
      <c r="E21" s="250"/>
      <c r="F21" s="251"/>
      <c r="G21" s="256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60"/>
      <c r="AJ21" s="262"/>
      <c r="AN21" s="254" t="e">
        <f>VLOOKUP(B21,利用者名簿!$B:$D,3,FALSE)</f>
        <v>#N/A</v>
      </c>
      <c r="AO21" s="274" t="str">
        <f t="shared" ref="AO21" si="36">IF(COUNTIF(G21:K22, "○") &gt; 0, "〇", "")</f>
        <v/>
      </c>
      <c r="AP21" s="274" t="e">
        <f>IF(AND(AO21="〇", AN21="〇" ), "対象", "")</f>
        <v>#N/A</v>
      </c>
      <c r="AQ21" s="274" t="str">
        <f t="shared" ref="AQ21" si="37">IF(COUNTIF(L21:P22, "○") &gt; 0, "〇", "")</f>
        <v/>
      </c>
      <c r="AR21" s="274" t="e">
        <f>IF(AND(AQ21="〇", AN21="〇" ), "対象", "")</f>
        <v>#N/A</v>
      </c>
      <c r="AS21" s="274" t="str">
        <f t="shared" ref="AS21" si="38">IF(COUNTIF(Q21:U22, "○") &gt; 0, "〇", "")</f>
        <v/>
      </c>
      <c r="AT21" s="274" t="e">
        <f>IF(AND(AS21="〇", AN21="〇" ), "対象", "")</f>
        <v>#N/A</v>
      </c>
      <c r="AU21" s="274" t="str">
        <f t="shared" ref="AU21" si="39">IF(COUNTIF(V21:Z22, "○") &gt; 0, "〇", "")</f>
        <v/>
      </c>
      <c r="AV21" s="274" t="e">
        <f>IF(AND(AU21="〇", AN21="〇" ), "対象", "")</f>
        <v>#N/A</v>
      </c>
      <c r="AW21" s="274" t="str">
        <f t="shared" ref="AW21" si="40">IF(COUNTIF(AA21:AE22, "○") &gt; 0, "〇", "")</f>
        <v/>
      </c>
      <c r="AX21" s="274" t="e">
        <f>IF(AND(AW21="〇", AN21="〇" ), "対象", "")</f>
        <v>#N/A</v>
      </c>
      <c r="AY21" s="274" t="str">
        <f t="shared" ref="AY21" si="41">IF(COUNTIF(AF21:AJ22, "○") &gt; 0, "〇", "")</f>
        <v/>
      </c>
      <c r="AZ21" s="274" t="e">
        <f>IF(AND(AY21="〇", AN21="〇" ), "対象", "")</f>
        <v>#N/A</v>
      </c>
    </row>
    <row r="22" spans="1:52" ht="24" customHeight="1">
      <c r="A22" s="244"/>
      <c r="B22" s="121" t="s">
        <v>123</v>
      </c>
      <c r="C22" s="248"/>
      <c r="D22" s="236"/>
      <c r="E22" s="237"/>
      <c r="F22" s="238"/>
      <c r="G22" s="257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61"/>
      <c r="AJ22" s="263"/>
      <c r="AN22" s="230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</row>
    <row r="23" spans="1:52" ht="32.25" customHeight="1">
      <c r="A23" s="243">
        <v>9</v>
      </c>
      <c r="B23" s="123"/>
      <c r="C23" s="247"/>
      <c r="D23" s="249" t="s">
        <v>122</v>
      </c>
      <c r="E23" s="250"/>
      <c r="F23" s="251"/>
      <c r="G23" s="256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60"/>
      <c r="AJ23" s="262"/>
      <c r="AN23" s="254" t="e">
        <f>VLOOKUP(B23,利用者名簿!$B:$D,3,FALSE)</f>
        <v>#N/A</v>
      </c>
      <c r="AO23" s="274" t="str">
        <f t="shared" ref="AO23" si="42">IF(COUNTIF(G23:K24, "○") &gt; 0, "〇", "")</f>
        <v/>
      </c>
      <c r="AP23" s="274" t="e">
        <f>IF(AND(AO23="〇", AN23="〇" ), "対象", "")</f>
        <v>#N/A</v>
      </c>
      <c r="AQ23" s="274" t="str">
        <f t="shared" ref="AQ23" si="43">IF(COUNTIF(L23:P24, "○") &gt; 0, "〇", "")</f>
        <v/>
      </c>
      <c r="AR23" s="274" t="e">
        <f>IF(AND(AQ23="〇", AN23="〇" ), "対象", "")</f>
        <v>#N/A</v>
      </c>
      <c r="AS23" s="274" t="str">
        <f t="shared" ref="AS23" si="44">IF(COUNTIF(Q23:U24, "○") &gt; 0, "〇", "")</f>
        <v/>
      </c>
      <c r="AT23" s="274" t="e">
        <f>IF(AND(AS23="〇", AN23="〇" ), "対象", "")</f>
        <v>#N/A</v>
      </c>
      <c r="AU23" s="274" t="str">
        <f t="shared" ref="AU23" si="45">IF(COUNTIF(V23:Z24, "○") &gt; 0, "〇", "")</f>
        <v/>
      </c>
      <c r="AV23" s="274" t="e">
        <f>IF(AND(AU23="〇", AN23="〇" ), "対象", "")</f>
        <v>#N/A</v>
      </c>
      <c r="AW23" s="274" t="str">
        <f t="shared" ref="AW23" si="46">IF(COUNTIF(AA23:AE24, "○") &gt; 0, "〇", "")</f>
        <v/>
      </c>
      <c r="AX23" s="274" t="e">
        <f>IF(AND(AW23="〇", AN23="〇" ), "対象", "")</f>
        <v>#N/A</v>
      </c>
      <c r="AY23" s="274" t="str">
        <f t="shared" ref="AY23" si="47">IF(COUNTIF(AF23:AJ24, "○") &gt; 0, "〇", "")</f>
        <v/>
      </c>
      <c r="AZ23" s="274" t="e">
        <f>IF(AND(AY23="〇", AN23="〇" ), "対象", "")</f>
        <v>#N/A</v>
      </c>
    </row>
    <row r="24" spans="1:52" ht="24" customHeight="1">
      <c r="A24" s="244"/>
      <c r="B24" s="121" t="s">
        <v>123</v>
      </c>
      <c r="C24" s="248"/>
      <c r="D24" s="236"/>
      <c r="E24" s="237"/>
      <c r="F24" s="238"/>
      <c r="G24" s="257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61"/>
      <c r="AJ24" s="263"/>
      <c r="AN24" s="230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</row>
    <row r="25" spans="1:52" ht="32.25" customHeight="1">
      <c r="A25" s="243">
        <v>10</v>
      </c>
      <c r="B25" s="123"/>
      <c r="C25" s="247"/>
      <c r="D25" s="249" t="s">
        <v>122</v>
      </c>
      <c r="E25" s="250"/>
      <c r="F25" s="251"/>
      <c r="G25" s="256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60"/>
      <c r="AJ25" s="262"/>
      <c r="AN25" s="254" t="e">
        <f>VLOOKUP(B25,利用者名簿!$B:$D,3,FALSE)</f>
        <v>#N/A</v>
      </c>
      <c r="AO25" s="274" t="str">
        <f t="shared" ref="AO25" si="48">IF(COUNTIF(G25:K26, "○") &gt; 0, "〇", "")</f>
        <v/>
      </c>
      <c r="AP25" s="274" t="e">
        <f>IF(AND(AO25="〇", AN25="〇" ), "対象", "")</f>
        <v>#N/A</v>
      </c>
      <c r="AQ25" s="274" t="str">
        <f t="shared" ref="AQ25" si="49">IF(COUNTIF(L25:P26, "○") &gt; 0, "〇", "")</f>
        <v/>
      </c>
      <c r="AR25" s="274" t="e">
        <f>IF(AND(AQ25="〇", AN25="〇" ), "対象", "")</f>
        <v>#N/A</v>
      </c>
      <c r="AS25" s="274" t="str">
        <f t="shared" ref="AS25" si="50">IF(COUNTIF(Q25:U26, "○") &gt; 0, "〇", "")</f>
        <v/>
      </c>
      <c r="AT25" s="274" t="e">
        <f>IF(AND(AS25="〇", AN25="〇" ), "対象", "")</f>
        <v>#N/A</v>
      </c>
      <c r="AU25" s="274" t="str">
        <f t="shared" ref="AU25" si="51">IF(COUNTIF(V25:Z26, "○") &gt; 0, "〇", "")</f>
        <v/>
      </c>
      <c r="AV25" s="274" t="e">
        <f>IF(AND(AU25="〇", AN25="〇" ), "対象", "")</f>
        <v>#N/A</v>
      </c>
      <c r="AW25" s="274" t="str">
        <f t="shared" ref="AW25" si="52">IF(COUNTIF(AA25:AE26, "○") &gt; 0, "〇", "")</f>
        <v/>
      </c>
      <c r="AX25" s="274" t="e">
        <f>IF(AND(AW25="〇", AN25="〇" ), "対象", "")</f>
        <v>#N/A</v>
      </c>
      <c r="AY25" s="274" t="str">
        <f t="shared" ref="AY25" si="53">IF(COUNTIF(AF25:AJ26, "○") &gt; 0, "〇", "")</f>
        <v/>
      </c>
      <c r="AZ25" s="274" t="e">
        <f>IF(AND(AY25="〇", AN25="〇" ), "対象", "")</f>
        <v>#N/A</v>
      </c>
    </row>
    <row r="26" spans="1:52" ht="24" customHeight="1" thickBot="1">
      <c r="A26" s="264"/>
      <c r="B26" s="124" t="s">
        <v>123</v>
      </c>
      <c r="C26" s="265"/>
      <c r="D26" s="266"/>
      <c r="E26" s="267"/>
      <c r="F26" s="268"/>
      <c r="G26" s="269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2"/>
      <c r="AJ26" s="273"/>
      <c r="AN26" s="229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</row>
    <row r="27" spans="1:52" ht="40.5" customHeight="1" thickTop="1">
      <c r="A27" s="275" t="s">
        <v>124</v>
      </c>
      <c r="B27" s="276"/>
      <c r="C27" s="276"/>
      <c r="D27" s="276"/>
      <c r="E27" s="276"/>
      <c r="F27" s="277"/>
      <c r="G27" s="95"/>
      <c r="H27" s="88"/>
      <c r="I27" s="89"/>
      <c r="J27" s="88"/>
      <c r="K27" s="89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8"/>
      <c r="AK27" s="94"/>
      <c r="AL27" s="92"/>
      <c r="AM27" s="92"/>
      <c r="AN27" s="91"/>
      <c r="AO27" s="91"/>
      <c r="AP27" s="91">
        <f>COUNTIF(AP7:AP26, "対象")</f>
        <v>5</v>
      </c>
      <c r="AQ27" s="91"/>
      <c r="AR27" s="91">
        <f t="shared" ref="AR27" si="54">COUNTIF(AR7:AR26, "対象")</f>
        <v>5</v>
      </c>
      <c r="AS27" s="91"/>
      <c r="AT27" s="91">
        <f t="shared" ref="AT27" si="55">COUNTIF(AT7:AT26, "対象")</f>
        <v>4</v>
      </c>
      <c r="AU27" s="91"/>
      <c r="AV27" s="91">
        <f t="shared" ref="AV27" si="56">COUNTIF(AV7:AV26, "対象")</f>
        <v>5</v>
      </c>
      <c r="AW27" s="91"/>
      <c r="AX27" s="91">
        <f>COUNTIF(AX7:AX26, "対象")</f>
        <v>5</v>
      </c>
      <c r="AY27" s="91"/>
      <c r="AZ27" s="91">
        <f t="shared" ref="AZ27" si="57">COUNTIF(AZ7:AZ26, "対象")</f>
        <v>5</v>
      </c>
    </row>
    <row r="28" spans="1:52" ht="18" customHeight="1">
      <c r="A28" s="270" t="s">
        <v>125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90"/>
      <c r="AM28" s="90"/>
    </row>
    <row r="29" spans="1:52" ht="18" customHeight="1">
      <c r="A29" s="270" t="s">
        <v>126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90"/>
      <c r="AM29" s="90"/>
    </row>
    <row r="30" spans="1:52" ht="18" customHeight="1">
      <c r="A30" s="270" t="s">
        <v>127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90"/>
      <c r="AM30" s="90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W5:AX5"/>
    <mergeCell ref="AU5:AV5"/>
    <mergeCell ref="AY5:AZ5"/>
    <mergeCell ref="AV19:AV20"/>
    <mergeCell ref="AS21:AS22"/>
    <mergeCell ref="AT21:AT22"/>
    <mergeCell ref="AU21:AU22"/>
    <mergeCell ref="AQ23:AQ24"/>
    <mergeCell ref="AR23:AR24"/>
    <mergeCell ref="AS23:AS24"/>
    <mergeCell ref="AT23:AT24"/>
    <mergeCell ref="AU23:AU24"/>
    <mergeCell ref="AV23:AV24"/>
    <mergeCell ref="AS17:AS18"/>
    <mergeCell ref="AT17:AT18"/>
    <mergeCell ref="AU17:AU18"/>
    <mergeCell ref="AQ19:AQ20"/>
    <mergeCell ref="AR19:AR20"/>
    <mergeCell ref="AS19:AS20"/>
    <mergeCell ref="AT19:AT20"/>
    <mergeCell ref="AU19:AU20"/>
    <mergeCell ref="AV11:AV12"/>
    <mergeCell ref="AS13:AS14"/>
    <mergeCell ref="AT13:AT14"/>
    <mergeCell ref="AG17:AG18"/>
    <mergeCell ref="AH17:AH18"/>
    <mergeCell ref="AI17:AI18"/>
    <mergeCell ref="AJ17:AJ18"/>
    <mergeCell ref="AU13:AU14"/>
    <mergeCell ref="AQ15:AQ16"/>
    <mergeCell ref="AO5:AP5"/>
    <mergeCell ref="AF4:AJ4"/>
    <mergeCell ref="AP7:AP8"/>
    <mergeCell ref="AP9:AP10"/>
    <mergeCell ref="AP11:AP12"/>
    <mergeCell ref="AP13:AP14"/>
    <mergeCell ref="AP15:AP16"/>
    <mergeCell ref="AN5:AN6"/>
    <mergeCell ref="AG15:AG16"/>
    <mergeCell ref="AH15:AH16"/>
    <mergeCell ref="AI15:AI16"/>
    <mergeCell ref="AN11:AN12"/>
    <mergeCell ref="AN9:AN10"/>
    <mergeCell ref="AQ5:AR5"/>
    <mergeCell ref="AS5:AT5"/>
    <mergeCell ref="AJ13:AJ14"/>
    <mergeCell ref="AH11:AH12"/>
    <mergeCell ref="AI11:AI12"/>
    <mergeCell ref="A27:F27"/>
    <mergeCell ref="AW25:AW26"/>
    <mergeCell ref="AW9:AW10"/>
    <mergeCell ref="AV21:AV22"/>
    <mergeCell ref="S25:S26"/>
    <mergeCell ref="H25:H26"/>
    <mergeCell ref="I25:I26"/>
    <mergeCell ref="J25:J26"/>
    <mergeCell ref="K25:K26"/>
    <mergeCell ref="L25:L26"/>
    <mergeCell ref="M25:M26"/>
    <mergeCell ref="AG23:AG24"/>
    <mergeCell ref="AH23:AH24"/>
    <mergeCell ref="J23:J24"/>
    <mergeCell ref="K23:K24"/>
    <mergeCell ref="L23:L24"/>
    <mergeCell ref="M23:M24"/>
    <mergeCell ref="AI23:AI24"/>
    <mergeCell ref="AJ23:AJ24"/>
    <mergeCell ref="AG19:AG20"/>
    <mergeCell ref="AH19:AH20"/>
    <mergeCell ref="AI19:AI20"/>
    <mergeCell ref="AJ19:AJ20"/>
    <mergeCell ref="AF17:AF18"/>
    <mergeCell ref="AX25:AX26"/>
    <mergeCell ref="AY25:AY26"/>
    <mergeCell ref="AZ19:AZ20"/>
    <mergeCell ref="AO19:AO20"/>
    <mergeCell ref="AP21:AP22"/>
    <mergeCell ref="AW19:AW20"/>
    <mergeCell ref="R25:R26"/>
    <mergeCell ref="AZ25:AZ26"/>
    <mergeCell ref="AO25:AO26"/>
    <mergeCell ref="AQ25:AQ26"/>
    <mergeCell ref="AR25:AR26"/>
    <mergeCell ref="AV25:AV26"/>
    <mergeCell ref="AX23:AX24"/>
    <mergeCell ref="AY23:AY24"/>
    <mergeCell ref="AZ23:AZ24"/>
    <mergeCell ref="AO23:AO24"/>
    <mergeCell ref="AP23:AP24"/>
    <mergeCell ref="AP25:AP26"/>
    <mergeCell ref="AW23:AW24"/>
    <mergeCell ref="AS25:AS26"/>
    <mergeCell ref="AT25:AT26"/>
    <mergeCell ref="AU25:AU26"/>
    <mergeCell ref="AZ17:AZ18"/>
    <mergeCell ref="AO17:AO18"/>
    <mergeCell ref="AQ17:AQ18"/>
    <mergeCell ref="AR17:AR18"/>
    <mergeCell ref="AV17:AV18"/>
    <mergeCell ref="AW21:AW22"/>
    <mergeCell ref="AX21:AX22"/>
    <mergeCell ref="AY21:AY22"/>
    <mergeCell ref="AW17:AW18"/>
    <mergeCell ref="AX17:AX18"/>
    <mergeCell ref="AY17:AY18"/>
    <mergeCell ref="AX19:AX20"/>
    <mergeCell ref="AY19:AY20"/>
    <mergeCell ref="AP17:AP18"/>
    <mergeCell ref="AP19:AP20"/>
    <mergeCell ref="AZ21:AZ22"/>
    <mergeCell ref="AO21:AO22"/>
    <mergeCell ref="AQ21:AQ22"/>
    <mergeCell ref="AR21:AR22"/>
    <mergeCell ref="AZ15:AZ16"/>
    <mergeCell ref="AO15:AO16"/>
    <mergeCell ref="AR15:AR16"/>
    <mergeCell ref="AS15:AS16"/>
    <mergeCell ref="AT15:AT16"/>
    <mergeCell ref="AU15:AU16"/>
    <mergeCell ref="AV15:AV16"/>
    <mergeCell ref="AW15:AW16"/>
    <mergeCell ref="AZ13:AZ14"/>
    <mergeCell ref="AO13:AO14"/>
    <mergeCell ref="AQ13:AQ14"/>
    <mergeCell ref="AR13:AR14"/>
    <mergeCell ref="AV13:AV14"/>
    <mergeCell ref="AW13:AW14"/>
    <mergeCell ref="AX13:AX14"/>
    <mergeCell ref="AY13:AY14"/>
    <mergeCell ref="AX15:AX16"/>
    <mergeCell ref="AY15:AY16"/>
    <mergeCell ref="AX11:AX12"/>
    <mergeCell ref="AY11:AY12"/>
    <mergeCell ref="AZ11:AZ12"/>
    <mergeCell ref="AO11:AO12"/>
    <mergeCell ref="AQ11:AQ12"/>
    <mergeCell ref="AR11:AR12"/>
    <mergeCell ref="AS11:AS12"/>
    <mergeCell ref="AT11:AT12"/>
    <mergeCell ref="AU11:AU12"/>
    <mergeCell ref="AW11:AW12"/>
    <mergeCell ref="AZ9:AZ10"/>
    <mergeCell ref="AO9:AO10"/>
    <mergeCell ref="AQ9:AQ10"/>
    <mergeCell ref="AR9:AR10"/>
    <mergeCell ref="AV9:AV10"/>
    <mergeCell ref="AX7:AX8"/>
    <mergeCell ref="AY7:AY8"/>
    <mergeCell ref="AZ7:AZ8"/>
    <mergeCell ref="AO7:AO8"/>
    <mergeCell ref="AQ7:AQ8"/>
    <mergeCell ref="AR7:AR8"/>
    <mergeCell ref="AS7:AS8"/>
    <mergeCell ref="AT7:AT8"/>
    <mergeCell ref="AU7:AU8"/>
    <mergeCell ref="AV7:AV8"/>
    <mergeCell ref="AS9:AS10"/>
    <mergeCell ref="AT9:AT10"/>
    <mergeCell ref="AU9:AU10"/>
    <mergeCell ref="AW7:AW8"/>
    <mergeCell ref="AX9:AX10"/>
    <mergeCell ref="AY9:AY10"/>
    <mergeCell ref="A28:AK28"/>
    <mergeCell ref="A29:AK29"/>
    <mergeCell ref="A30:AK30"/>
    <mergeCell ref="AF25:AF26"/>
    <mergeCell ref="AG25:AG26"/>
    <mergeCell ref="AH25:AH26"/>
    <mergeCell ref="AI25:AI26"/>
    <mergeCell ref="AJ25:AJ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N23:N24"/>
    <mergeCell ref="A25:A26"/>
    <mergeCell ref="AN25:AN26"/>
    <mergeCell ref="C25:C26"/>
    <mergeCell ref="D25:F26"/>
    <mergeCell ref="G25:G26"/>
    <mergeCell ref="AA23:AA24"/>
    <mergeCell ref="AB23:AB24"/>
    <mergeCell ref="AC23:AC24"/>
    <mergeCell ref="AD23:AD24"/>
    <mergeCell ref="AE23:AE24"/>
    <mergeCell ref="AF23:AF24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I23:I24"/>
    <mergeCell ref="A23:A24"/>
    <mergeCell ref="AN23:AN24"/>
    <mergeCell ref="C23:C24"/>
    <mergeCell ref="D23:F24"/>
    <mergeCell ref="G23:G24"/>
    <mergeCell ref="H23:H24"/>
    <mergeCell ref="AF21:AF22"/>
    <mergeCell ref="AG21:AG22"/>
    <mergeCell ref="AH21:AH22"/>
    <mergeCell ref="AI21:AI22"/>
    <mergeCell ref="AJ21:AJ22"/>
    <mergeCell ref="Z21:Z22"/>
    <mergeCell ref="AA21:AA22"/>
    <mergeCell ref="AB21:AB22"/>
    <mergeCell ref="AC21:AC22"/>
    <mergeCell ref="AD21:AD22"/>
    <mergeCell ref="AE21:AE22"/>
    <mergeCell ref="T21:T22"/>
    <mergeCell ref="U21:U22"/>
    <mergeCell ref="V21:V22"/>
    <mergeCell ref="W21:W22"/>
    <mergeCell ref="X21:X22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A21:A22"/>
    <mergeCell ref="AN21:AN22"/>
    <mergeCell ref="C21:C22"/>
    <mergeCell ref="D21:F22"/>
    <mergeCell ref="G21:G22"/>
    <mergeCell ref="AA19:AA20"/>
    <mergeCell ref="AB19:AB20"/>
    <mergeCell ref="AC19:AC20"/>
    <mergeCell ref="AD19:AD20"/>
    <mergeCell ref="AE19:AE20"/>
    <mergeCell ref="AF19:AF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K19:K20"/>
    <mergeCell ref="L19:L20"/>
    <mergeCell ref="M19:M20"/>
    <mergeCell ref="N19:N20"/>
    <mergeCell ref="A19:A20"/>
    <mergeCell ref="AN19:AN20"/>
    <mergeCell ref="C19:C20"/>
    <mergeCell ref="D19:F20"/>
    <mergeCell ref="G19:G20"/>
    <mergeCell ref="H19:H20"/>
    <mergeCell ref="Z17:Z18"/>
    <mergeCell ref="AA17:AA18"/>
    <mergeCell ref="AB17:AB18"/>
    <mergeCell ref="AC17:AC18"/>
    <mergeCell ref="AD17:AD18"/>
    <mergeCell ref="AE17:AE18"/>
    <mergeCell ref="T17:T18"/>
    <mergeCell ref="U17:U18"/>
    <mergeCell ref="V17:V18"/>
    <mergeCell ref="W17:W18"/>
    <mergeCell ref="X17:X18"/>
    <mergeCell ref="Y17:Y18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A15:A16"/>
    <mergeCell ref="AN15:AN16"/>
    <mergeCell ref="C15:C16"/>
    <mergeCell ref="D15:F16"/>
    <mergeCell ref="G15:G16"/>
    <mergeCell ref="H15:H16"/>
    <mergeCell ref="AJ15:AJ16"/>
    <mergeCell ref="A17:A18"/>
    <mergeCell ref="AN17:AN18"/>
    <mergeCell ref="C17:C18"/>
    <mergeCell ref="D17:F18"/>
    <mergeCell ref="G17:G18"/>
    <mergeCell ref="AA15:AA16"/>
    <mergeCell ref="AB15:AB16"/>
    <mergeCell ref="AC15:AC16"/>
    <mergeCell ref="AD15:AD16"/>
    <mergeCell ref="AE15:AE16"/>
    <mergeCell ref="AF15:AF16"/>
    <mergeCell ref="U15:U16"/>
    <mergeCell ref="V15:V16"/>
    <mergeCell ref="W15:W16"/>
    <mergeCell ref="X15:X16"/>
    <mergeCell ref="Y15:Y16"/>
    <mergeCell ref="Z15:Z16"/>
    <mergeCell ref="AE13:AE14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W13:W14"/>
    <mergeCell ref="X13:X14"/>
    <mergeCell ref="Y13:Y14"/>
    <mergeCell ref="P13:P14"/>
    <mergeCell ref="Q13:Q14"/>
    <mergeCell ref="R13:R14"/>
    <mergeCell ref="S13:S14"/>
    <mergeCell ref="Z13:Z14"/>
    <mergeCell ref="AA13:AA14"/>
    <mergeCell ref="AB13:AB14"/>
    <mergeCell ref="AC13:AC14"/>
    <mergeCell ref="AD13:AD14"/>
    <mergeCell ref="AF13:AF14"/>
    <mergeCell ref="AG13:AG14"/>
    <mergeCell ref="AH13:AH14"/>
    <mergeCell ref="AI13:AI14"/>
    <mergeCell ref="S11:S12"/>
    <mergeCell ref="T11:T12"/>
    <mergeCell ref="H13:H14"/>
    <mergeCell ref="I13:I14"/>
    <mergeCell ref="J13:J14"/>
    <mergeCell ref="K13:K14"/>
    <mergeCell ref="L13:L14"/>
    <mergeCell ref="M13:M14"/>
    <mergeCell ref="AG11:AG12"/>
    <mergeCell ref="I11:I12"/>
    <mergeCell ref="J11:J12"/>
    <mergeCell ref="K11:K12"/>
    <mergeCell ref="L11:L12"/>
    <mergeCell ref="M11:M12"/>
    <mergeCell ref="N11:N12"/>
    <mergeCell ref="T13:T14"/>
    <mergeCell ref="U13:U14"/>
    <mergeCell ref="V13:V14"/>
    <mergeCell ref="N13:N14"/>
    <mergeCell ref="O13:O14"/>
    <mergeCell ref="N9:N10"/>
    <mergeCell ref="AJ11:AJ12"/>
    <mergeCell ref="R9:R10"/>
    <mergeCell ref="A13:A14"/>
    <mergeCell ref="AN13:AN14"/>
    <mergeCell ref="C13:C14"/>
    <mergeCell ref="D13:F14"/>
    <mergeCell ref="G13:G14"/>
    <mergeCell ref="AA11:AA12"/>
    <mergeCell ref="AB11:AB12"/>
    <mergeCell ref="AC11:AC12"/>
    <mergeCell ref="AD11:AD12"/>
    <mergeCell ref="AE11:AE12"/>
    <mergeCell ref="AF11:AF12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A11:A12"/>
    <mergeCell ref="AJ7:AJ8"/>
    <mergeCell ref="A9:A10"/>
    <mergeCell ref="C9:C10"/>
    <mergeCell ref="D9:F10"/>
    <mergeCell ref="G9:G10"/>
    <mergeCell ref="AA7:AA8"/>
    <mergeCell ref="AB7:AB8"/>
    <mergeCell ref="AC7:AC8"/>
    <mergeCell ref="AD7:AD8"/>
    <mergeCell ref="AE7:AE8"/>
    <mergeCell ref="AF7:AF8"/>
    <mergeCell ref="U7:U8"/>
    <mergeCell ref="V7:V8"/>
    <mergeCell ref="W7:W8"/>
    <mergeCell ref="X7:X8"/>
    <mergeCell ref="Y7:Y8"/>
    <mergeCell ref="C11:C12"/>
    <mergeCell ref="D11:F12"/>
    <mergeCell ref="G11:G12"/>
    <mergeCell ref="H11:H12"/>
    <mergeCell ref="AF9:AF10"/>
    <mergeCell ref="AG9:AG10"/>
    <mergeCell ref="AH9:AH10"/>
    <mergeCell ref="O9:O10"/>
    <mergeCell ref="P9:P10"/>
    <mergeCell ref="Q9:Q10"/>
    <mergeCell ref="A7:A8"/>
    <mergeCell ref="AN7:AN8"/>
    <mergeCell ref="C7:C8"/>
    <mergeCell ref="D7:F8"/>
    <mergeCell ref="G7:G8"/>
    <mergeCell ref="H7:H8"/>
    <mergeCell ref="AG7:AG8"/>
    <mergeCell ref="AH7:AH8"/>
    <mergeCell ref="AI7:AI8"/>
    <mergeCell ref="S9:S10"/>
    <mergeCell ref="H9:H10"/>
    <mergeCell ref="I9:I10"/>
    <mergeCell ref="J9:J10"/>
    <mergeCell ref="K9:K10"/>
    <mergeCell ref="L9:L10"/>
    <mergeCell ref="M9:M10"/>
    <mergeCell ref="AI9:AI10"/>
    <mergeCell ref="AJ9:AJ10"/>
    <mergeCell ref="Z9:Z10"/>
    <mergeCell ref="AA9:AA10"/>
    <mergeCell ref="AB9:AB10"/>
    <mergeCell ref="F2:Y2"/>
    <mergeCell ref="AA2:AC2"/>
    <mergeCell ref="A4:A6"/>
    <mergeCell ref="B4:B6"/>
    <mergeCell ref="C4:C6"/>
    <mergeCell ref="D4:D6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Z7:Z8"/>
    <mergeCell ref="O7:O8"/>
    <mergeCell ref="P7:P8"/>
    <mergeCell ref="Q7:Q8"/>
    <mergeCell ref="G4:K4"/>
    <mergeCell ref="L4:P4"/>
    <mergeCell ref="Q4:U4"/>
    <mergeCell ref="V4:Z4"/>
    <mergeCell ref="AA4:AE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view="pageBreakPreview" zoomScale="86" zoomScaleNormal="100" zoomScaleSheetLayoutView="86" workbookViewId="0">
      <selection activeCell="A2" sqref="A2"/>
    </sheetView>
  </sheetViews>
  <sheetFormatPr defaultRowHeight="13.5"/>
  <cols>
    <col min="1" max="1" width="3.625" style="69" customWidth="1"/>
    <col min="2" max="2" width="27.625" style="69" customWidth="1"/>
    <col min="3" max="3" width="7.125" style="69" bestFit="1" customWidth="1"/>
    <col min="4" max="4" width="7.25" style="69" customWidth="1"/>
    <col min="5" max="5" width="1.25" style="70" customWidth="1"/>
    <col min="6" max="6" width="6" style="70" customWidth="1"/>
    <col min="7" max="7" width="4.375" style="70" customWidth="1"/>
    <col min="8" max="39" width="4.375" style="69" customWidth="1"/>
    <col min="40" max="16384" width="9" style="69"/>
  </cols>
  <sheetData>
    <row r="1" spans="1:52" ht="21.75" customHeight="1">
      <c r="A1" s="68"/>
      <c r="AK1" s="71" t="s">
        <v>112</v>
      </c>
      <c r="AL1" s="71"/>
      <c r="AM1" s="71"/>
    </row>
    <row r="2" spans="1:52" s="77" customFormat="1" ht="24" customHeight="1">
      <c r="A2" s="72" t="s">
        <v>187</v>
      </c>
      <c r="B2" s="72"/>
      <c r="C2" s="72"/>
      <c r="D2" s="73" t="s">
        <v>181</v>
      </c>
      <c r="E2" s="74"/>
      <c r="F2" s="207" t="s">
        <v>134</v>
      </c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75"/>
      <c r="AA2" s="207" t="s">
        <v>114</v>
      </c>
      <c r="AB2" s="207"/>
      <c r="AC2" s="207"/>
      <c r="AD2" s="96" t="str">
        <f>利用者名簿!G25</f>
        <v>●●●会</v>
      </c>
      <c r="AE2" s="76"/>
      <c r="AF2" s="76"/>
      <c r="AG2" s="76"/>
      <c r="AH2" s="76"/>
      <c r="AI2" s="76"/>
      <c r="AJ2" s="76"/>
      <c r="AK2" s="76"/>
      <c r="AL2" s="93"/>
      <c r="AM2" s="93"/>
    </row>
    <row r="3" spans="1:52" ht="7.5" customHeight="1">
      <c r="A3" s="78"/>
      <c r="B3" s="78"/>
      <c r="C3" s="78"/>
      <c r="D3" s="79"/>
      <c r="E3" s="79"/>
      <c r="F3" s="79"/>
      <c r="G3" s="79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1"/>
      <c r="AA3" s="80"/>
      <c r="AB3" s="80"/>
      <c r="AC3" s="80"/>
      <c r="AD3" s="82"/>
      <c r="AE3" s="82"/>
      <c r="AF3" s="82"/>
      <c r="AG3" s="82"/>
      <c r="AH3" s="82"/>
      <c r="AI3" s="82"/>
      <c r="AJ3" s="82"/>
      <c r="AK3" s="82"/>
      <c r="AL3" s="82"/>
      <c r="AM3" s="82"/>
    </row>
    <row r="4" spans="1:52" ht="25.5" customHeight="1">
      <c r="A4" s="208"/>
      <c r="B4" s="211" t="s">
        <v>115</v>
      </c>
      <c r="C4" s="214" t="s">
        <v>117</v>
      </c>
      <c r="D4" s="216" t="s">
        <v>118</v>
      </c>
      <c r="E4" s="83"/>
      <c r="F4" s="84" t="s">
        <v>119</v>
      </c>
      <c r="G4" s="221">
        <v>10</v>
      </c>
      <c r="H4" s="222"/>
      <c r="I4" s="222"/>
      <c r="J4" s="222"/>
      <c r="K4" s="223"/>
      <c r="L4" s="224">
        <v>11</v>
      </c>
      <c r="M4" s="222"/>
      <c r="N4" s="222"/>
      <c r="O4" s="222"/>
      <c r="P4" s="223"/>
      <c r="Q4" s="224">
        <v>12</v>
      </c>
      <c r="R4" s="222"/>
      <c r="S4" s="222"/>
      <c r="T4" s="222"/>
      <c r="U4" s="223"/>
      <c r="V4" s="224">
        <v>1</v>
      </c>
      <c r="W4" s="222"/>
      <c r="X4" s="222"/>
      <c r="Y4" s="222"/>
      <c r="Z4" s="223"/>
      <c r="AA4" s="224">
        <v>2</v>
      </c>
      <c r="AB4" s="222"/>
      <c r="AC4" s="222"/>
      <c r="AD4" s="222"/>
      <c r="AE4" s="223"/>
      <c r="AF4" s="224">
        <v>3</v>
      </c>
      <c r="AG4" s="222"/>
      <c r="AH4" s="222"/>
      <c r="AI4" s="222"/>
      <c r="AJ4" s="279"/>
    </row>
    <row r="5" spans="1:52" ht="25.5" customHeight="1">
      <c r="A5" s="209"/>
      <c r="B5" s="212"/>
      <c r="C5" s="215"/>
      <c r="D5" s="217"/>
      <c r="E5" s="85"/>
      <c r="F5" s="84" t="s">
        <v>120</v>
      </c>
      <c r="G5" s="125">
        <v>2</v>
      </c>
      <c r="H5" s="126">
        <v>9</v>
      </c>
      <c r="I5" s="125">
        <v>16</v>
      </c>
      <c r="J5" s="126">
        <v>23</v>
      </c>
      <c r="K5" s="125">
        <v>30</v>
      </c>
      <c r="L5" s="126">
        <v>6</v>
      </c>
      <c r="M5" s="126">
        <v>13</v>
      </c>
      <c r="N5" s="126">
        <v>20</v>
      </c>
      <c r="O5" s="126">
        <v>27</v>
      </c>
      <c r="P5" s="126"/>
      <c r="Q5" s="126">
        <v>4</v>
      </c>
      <c r="R5" s="126">
        <v>11</v>
      </c>
      <c r="S5" s="126">
        <v>18</v>
      </c>
      <c r="T5" s="126">
        <v>25</v>
      </c>
      <c r="U5" s="126"/>
      <c r="V5" s="126">
        <v>8</v>
      </c>
      <c r="W5" s="126">
        <v>15</v>
      </c>
      <c r="X5" s="126">
        <v>22</v>
      </c>
      <c r="Y5" s="126">
        <v>29</v>
      </c>
      <c r="Z5" s="126"/>
      <c r="AA5" s="126">
        <v>5</v>
      </c>
      <c r="AB5" s="126">
        <v>12</v>
      </c>
      <c r="AC5" s="126">
        <v>19</v>
      </c>
      <c r="AD5" s="126">
        <v>26</v>
      </c>
      <c r="AE5" s="126"/>
      <c r="AF5" s="126">
        <v>5</v>
      </c>
      <c r="AG5" s="126">
        <v>12</v>
      </c>
      <c r="AH5" s="126">
        <v>19</v>
      </c>
      <c r="AI5" s="135">
        <v>26</v>
      </c>
      <c r="AJ5" s="136"/>
      <c r="AN5" s="280" t="s">
        <v>116</v>
      </c>
      <c r="AO5" s="274" t="s">
        <v>131</v>
      </c>
      <c r="AP5" s="274"/>
      <c r="AQ5" s="274" t="s">
        <v>132</v>
      </c>
      <c r="AR5" s="274"/>
      <c r="AS5" s="274" t="s">
        <v>133</v>
      </c>
      <c r="AT5" s="274"/>
      <c r="AU5" s="274" t="s">
        <v>50</v>
      </c>
      <c r="AV5" s="274"/>
      <c r="AW5" s="274" t="s">
        <v>52</v>
      </c>
      <c r="AX5" s="274"/>
      <c r="AY5" s="274" t="s">
        <v>54</v>
      </c>
      <c r="AZ5" s="274"/>
    </row>
    <row r="6" spans="1:52" ht="25.5" customHeight="1" thickBot="1">
      <c r="A6" s="210"/>
      <c r="B6" s="213"/>
      <c r="C6" s="213"/>
      <c r="D6" s="218"/>
      <c r="E6" s="86"/>
      <c r="F6" s="87" t="s">
        <v>121</v>
      </c>
      <c r="G6" s="130" t="s">
        <v>148</v>
      </c>
      <c r="H6" s="131" t="s">
        <v>148</v>
      </c>
      <c r="I6" s="131" t="s">
        <v>148</v>
      </c>
      <c r="J6" s="131" t="s">
        <v>149</v>
      </c>
      <c r="K6" s="131" t="s">
        <v>148</v>
      </c>
      <c r="L6" s="131" t="s">
        <v>149</v>
      </c>
      <c r="M6" s="131" t="s">
        <v>149</v>
      </c>
      <c r="N6" s="131" t="s">
        <v>149</v>
      </c>
      <c r="O6" s="131" t="s">
        <v>149</v>
      </c>
      <c r="P6" s="132"/>
      <c r="Q6" s="131" t="s">
        <v>149</v>
      </c>
      <c r="R6" s="131" t="s">
        <v>149</v>
      </c>
      <c r="S6" s="131" t="s">
        <v>149</v>
      </c>
      <c r="T6" s="131" t="s">
        <v>149</v>
      </c>
      <c r="U6" s="132"/>
      <c r="V6" s="131" t="s">
        <v>149</v>
      </c>
      <c r="W6" s="131" t="s">
        <v>149</v>
      </c>
      <c r="X6" s="131" t="s">
        <v>149</v>
      </c>
      <c r="Y6" s="131" t="s">
        <v>149</v>
      </c>
      <c r="Z6" s="131"/>
      <c r="AA6" s="131" t="s">
        <v>149</v>
      </c>
      <c r="AB6" s="131" t="s">
        <v>149</v>
      </c>
      <c r="AC6" s="131" t="s">
        <v>149</v>
      </c>
      <c r="AD6" s="131" t="s">
        <v>149</v>
      </c>
      <c r="AE6" s="132"/>
      <c r="AF6" s="131" t="s">
        <v>149</v>
      </c>
      <c r="AG6" s="131" t="s">
        <v>149</v>
      </c>
      <c r="AH6" s="131" t="s">
        <v>149</v>
      </c>
      <c r="AI6" s="131" t="s">
        <v>149</v>
      </c>
      <c r="AJ6" s="133"/>
      <c r="AN6" s="280"/>
      <c r="AO6" s="91" t="s">
        <v>128</v>
      </c>
      <c r="AP6" s="91" t="s">
        <v>129</v>
      </c>
      <c r="AQ6" s="91" t="s">
        <v>128</v>
      </c>
      <c r="AR6" s="91" t="s">
        <v>129</v>
      </c>
      <c r="AS6" s="91" t="s">
        <v>128</v>
      </c>
      <c r="AT6" s="91" t="s">
        <v>129</v>
      </c>
      <c r="AU6" s="91" t="s">
        <v>128</v>
      </c>
      <c r="AV6" s="91" t="s">
        <v>129</v>
      </c>
      <c r="AW6" s="91" t="s">
        <v>128</v>
      </c>
      <c r="AX6" s="91" t="s">
        <v>129</v>
      </c>
      <c r="AY6" s="91" t="s">
        <v>128</v>
      </c>
      <c r="AZ6" s="91" t="s">
        <v>129</v>
      </c>
    </row>
    <row r="7" spans="1:52" ht="32.25" customHeight="1" thickTop="1">
      <c r="A7" s="227">
        <v>1</v>
      </c>
      <c r="B7" s="120" t="s">
        <v>135</v>
      </c>
      <c r="C7" s="281"/>
      <c r="D7" s="233" t="s">
        <v>122</v>
      </c>
      <c r="E7" s="234"/>
      <c r="F7" s="235"/>
      <c r="G7" s="239" t="s">
        <v>155</v>
      </c>
      <c r="H7" s="219" t="s">
        <v>147</v>
      </c>
      <c r="I7" s="219" t="s">
        <v>147</v>
      </c>
      <c r="J7" s="219" t="s">
        <v>147</v>
      </c>
      <c r="K7" s="219" t="s">
        <v>147</v>
      </c>
      <c r="L7" s="219" t="s">
        <v>147</v>
      </c>
      <c r="M7" s="219" t="s">
        <v>147</v>
      </c>
      <c r="N7" s="219" t="s">
        <v>147</v>
      </c>
      <c r="O7" s="219" t="s">
        <v>147</v>
      </c>
      <c r="P7" s="219"/>
      <c r="Q7" s="219" t="s">
        <v>155</v>
      </c>
      <c r="R7" s="219"/>
      <c r="S7" s="219"/>
      <c r="T7" s="219"/>
      <c r="U7" s="219"/>
      <c r="V7" s="219" t="s">
        <v>147</v>
      </c>
      <c r="W7" s="219" t="s">
        <v>147</v>
      </c>
      <c r="X7" s="219" t="s">
        <v>147</v>
      </c>
      <c r="Y7" s="219" t="s">
        <v>147</v>
      </c>
      <c r="Z7" s="219"/>
      <c r="AA7" s="219" t="s">
        <v>147</v>
      </c>
      <c r="AB7" s="219" t="s">
        <v>147</v>
      </c>
      <c r="AC7" s="219" t="s">
        <v>147</v>
      </c>
      <c r="AD7" s="219" t="s">
        <v>147</v>
      </c>
      <c r="AE7" s="219"/>
      <c r="AF7" s="219" t="s">
        <v>147</v>
      </c>
      <c r="AG7" s="219" t="s">
        <v>147</v>
      </c>
      <c r="AH7" s="219" t="s">
        <v>147</v>
      </c>
      <c r="AI7" s="219" t="s">
        <v>147</v>
      </c>
      <c r="AJ7" s="285"/>
      <c r="AN7" s="229" t="str">
        <f>VLOOKUP(B7,利用者名簿!$B:$D,3,FALSE)</f>
        <v>〇</v>
      </c>
      <c r="AO7" s="274" t="str">
        <f>IF(COUNTIF(G7:K8, "○") &gt; 0, "〇", "")</f>
        <v>〇</v>
      </c>
      <c r="AP7" s="274" t="str">
        <f>IF(AND(AO7="〇", AN7="〇" ), "対象", "")</f>
        <v>対象</v>
      </c>
      <c r="AQ7" s="274" t="str">
        <f>IF(COUNTIF(L7:P8, "○") &gt; 0, "〇", "")</f>
        <v>〇</v>
      </c>
      <c r="AR7" s="274" t="str">
        <f>IF(AND(AQ7="〇", AN7="〇" ), "対象", "")</f>
        <v>対象</v>
      </c>
      <c r="AS7" s="274" t="str">
        <f>IF(COUNTIF(Q7:U8, "○") &gt; 0, "〇", "")</f>
        <v>〇</v>
      </c>
      <c r="AT7" s="274" t="str">
        <f>IF(AND(AS7="〇", AN7="〇" ), "対象", "")</f>
        <v>対象</v>
      </c>
      <c r="AU7" s="274" t="str">
        <f>IF(COUNTIF(V7:Z8, "○") &gt; 0, "〇", "")</f>
        <v>〇</v>
      </c>
      <c r="AV7" s="274" t="str">
        <f>IF(AND(AU7="〇", AN7="〇" ), "対象", "")</f>
        <v>対象</v>
      </c>
      <c r="AW7" s="274" t="str">
        <f>IF(COUNTIF(AA7:AE8, "○") &gt; 0, "〇", "")</f>
        <v>〇</v>
      </c>
      <c r="AX7" s="274" t="str">
        <f>IF(AND(AW7="〇", AN7="〇" ), "対象", "")</f>
        <v>対象</v>
      </c>
      <c r="AY7" s="274" t="str">
        <f>IF(COUNTIF(AF7:AJ8, "○") &gt; 0, "〇", "")</f>
        <v>〇</v>
      </c>
      <c r="AZ7" s="274" t="str">
        <f>IF(AND(AY7="〇", AN7="〇" ), "対象", "")</f>
        <v>対象</v>
      </c>
    </row>
    <row r="8" spans="1:52" ht="24" customHeight="1">
      <c r="A8" s="228"/>
      <c r="B8" s="121" t="s">
        <v>150</v>
      </c>
      <c r="C8" s="282"/>
      <c r="D8" s="236"/>
      <c r="E8" s="237"/>
      <c r="F8" s="238"/>
      <c r="G8" s="24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86"/>
      <c r="AN8" s="230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</row>
    <row r="9" spans="1:52" ht="32.25" customHeight="1">
      <c r="A9" s="243">
        <v>2</v>
      </c>
      <c r="B9" s="122" t="s">
        <v>137</v>
      </c>
      <c r="C9" s="283"/>
      <c r="D9" s="249" t="s">
        <v>122</v>
      </c>
      <c r="E9" s="250"/>
      <c r="F9" s="251"/>
      <c r="G9" s="252" t="s">
        <v>147</v>
      </c>
      <c r="H9" s="225"/>
      <c r="I9" s="225" t="s">
        <v>147</v>
      </c>
      <c r="J9" s="225" t="s">
        <v>147</v>
      </c>
      <c r="K9" s="225" t="s">
        <v>147</v>
      </c>
      <c r="L9" s="225" t="s">
        <v>147</v>
      </c>
      <c r="M9" s="225" t="s">
        <v>147</v>
      </c>
      <c r="N9" s="225" t="s">
        <v>147</v>
      </c>
      <c r="O9" s="225" t="s">
        <v>147</v>
      </c>
      <c r="P9" s="225"/>
      <c r="Q9" s="225" t="s">
        <v>147</v>
      </c>
      <c r="R9" s="225" t="s">
        <v>147</v>
      </c>
      <c r="S9" s="225" t="s">
        <v>147</v>
      </c>
      <c r="T9" s="225" t="s">
        <v>147</v>
      </c>
      <c r="U9" s="225"/>
      <c r="V9" s="225" t="s">
        <v>147</v>
      </c>
      <c r="W9" s="225" t="s">
        <v>147</v>
      </c>
      <c r="X9" s="225" t="s">
        <v>147</v>
      </c>
      <c r="Y9" s="225" t="s">
        <v>147</v>
      </c>
      <c r="Z9" s="225"/>
      <c r="AA9" s="225" t="s">
        <v>147</v>
      </c>
      <c r="AB9" s="225" t="s">
        <v>147</v>
      </c>
      <c r="AC9" s="225" t="s">
        <v>147</v>
      </c>
      <c r="AD9" s="225" t="s">
        <v>147</v>
      </c>
      <c r="AE9" s="225"/>
      <c r="AF9" s="225" t="s">
        <v>147</v>
      </c>
      <c r="AG9" s="225" t="s">
        <v>147</v>
      </c>
      <c r="AH9" s="225" t="s">
        <v>147</v>
      </c>
      <c r="AI9" s="225" t="s">
        <v>147</v>
      </c>
      <c r="AJ9" s="287"/>
      <c r="AN9" s="254" t="str">
        <f>VLOOKUP(B9,利用者名簿!$B:$D,3,FALSE)</f>
        <v>〇</v>
      </c>
      <c r="AO9" s="274" t="str">
        <f t="shared" ref="AO9" si="0">IF(COUNTIF(G9:K10, "○") &gt; 0, "〇", "")</f>
        <v>〇</v>
      </c>
      <c r="AP9" s="274" t="str">
        <f>IF(AND(AO9="〇", AN9="〇" ), "対象", "")</f>
        <v>対象</v>
      </c>
      <c r="AQ9" s="274" t="str">
        <f t="shared" ref="AQ9" si="1">IF(COUNTIF(L9:P10, "○") &gt; 0, "〇", "")</f>
        <v>〇</v>
      </c>
      <c r="AR9" s="274" t="str">
        <f>IF(AND(AQ9="〇", AN9="〇" ), "対象", "")</f>
        <v>対象</v>
      </c>
      <c r="AS9" s="274" t="str">
        <f t="shared" ref="AS9" si="2">IF(COUNTIF(Q9:U10, "○") &gt; 0, "〇", "")</f>
        <v>〇</v>
      </c>
      <c r="AT9" s="274" t="str">
        <f>IF(AND(AS9="〇", AN9="〇" ), "対象", "")</f>
        <v>対象</v>
      </c>
      <c r="AU9" s="274" t="str">
        <f t="shared" ref="AU9" si="3">IF(COUNTIF(V9:Z10, "○") &gt; 0, "〇", "")</f>
        <v>〇</v>
      </c>
      <c r="AV9" s="274" t="str">
        <f>IF(AND(AU9="〇", AN9="〇" ), "対象", "")</f>
        <v>対象</v>
      </c>
      <c r="AW9" s="274" t="str">
        <f t="shared" ref="AW9" si="4">IF(COUNTIF(AA9:AE10, "○") &gt; 0, "〇", "")</f>
        <v>〇</v>
      </c>
      <c r="AX9" s="274" t="str">
        <f>IF(AND(AW9="〇", AN9="〇" ), "対象", "")</f>
        <v>対象</v>
      </c>
      <c r="AY9" s="274" t="str">
        <f t="shared" ref="AY9" si="5">IF(COUNTIF(AF9:AJ10, "○") &gt; 0, "〇", "")</f>
        <v>〇</v>
      </c>
      <c r="AZ9" s="274" t="str">
        <f>IF(AND(AY9="〇", AN9="〇" ), "対象", "")</f>
        <v>対象</v>
      </c>
    </row>
    <row r="10" spans="1:52" ht="24" customHeight="1">
      <c r="A10" s="244"/>
      <c r="B10" s="121" t="s">
        <v>151</v>
      </c>
      <c r="C10" s="284"/>
      <c r="D10" s="236"/>
      <c r="E10" s="237"/>
      <c r="F10" s="238"/>
      <c r="G10" s="253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88"/>
      <c r="AN10" s="230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</row>
    <row r="11" spans="1:52" ht="32.25" customHeight="1">
      <c r="A11" s="243">
        <v>3</v>
      </c>
      <c r="B11" s="122" t="s">
        <v>138</v>
      </c>
      <c r="C11" s="283"/>
      <c r="D11" s="249" t="s">
        <v>122</v>
      </c>
      <c r="E11" s="250"/>
      <c r="F11" s="251"/>
      <c r="G11" s="252" t="s">
        <v>147</v>
      </c>
      <c r="H11" s="225" t="s">
        <v>147</v>
      </c>
      <c r="I11" s="225"/>
      <c r="J11" s="225" t="s">
        <v>147</v>
      </c>
      <c r="K11" s="225" t="s">
        <v>147</v>
      </c>
      <c r="L11" s="225" t="s">
        <v>147</v>
      </c>
      <c r="M11" s="225" t="s">
        <v>147</v>
      </c>
      <c r="N11" s="225" t="s">
        <v>147</v>
      </c>
      <c r="O11" s="225" t="s">
        <v>147</v>
      </c>
      <c r="P11" s="225"/>
      <c r="Q11" s="225" t="s">
        <v>147</v>
      </c>
      <c r="R11" s="225" t="s">
        <v>147</v>
      </c>
      <c r="S11" s="225" t="s">
        <v>147</v>
      </c>
      <c r="T11" s="225" t="s">
        <v>147</v>
      </c>
      <c r="U11" s="225"/>
      <c r="V11" s="225" t="s">
        <v>147</v>
      </c>
      <c r="W11" s="225" t="s">
        <v>147</v>
      </c>
      <c r="X11" s="225" t="s">
        <v>147</v>
      </c>
      <c r="Y11" s="225" t="s">
        <v>147</v>
      </c>
      <c r="Z11" s="225"/>
      <c r="AA11" s="225" t="s">
        <v>147</v>
      </c>
      <c r="AB11" s="225" t="s">
        <v>147</v>
      </c>
      <c r="AC11" s="225" t="s">
        <v>147</v>
      </c>
      <c r="AD11" s="225" t="s">
        <v>147</v>
      </c>
      <c r="AE11" s="225"/>
      <c r="AF11" s="225" t="s">
        <v>147</v>
      </c>
      <c r="AG11" s="225" t="s">
        <v>147</v>
      </c>
      <c r="AH11" s="225" t="s">
        <v>147</v>
      </c>
      <c r="AI11" s="225" t="s">
        <v>147</v>
      </c>
      <c r="AJ11" s="287"/>
      <c r="AN11" s="254" t="str">
        <f>VLOOKUP(B11,利用者名簿!$B:$D,3,FALSE)</f>
        <v>〇</v>
      </c>
      <c r="AO11" s="274" t="str">
        <f t="shared" ref="AO11" si="6">IF(COUNTIF(G11:K12, "○") &gt; 0, "〇", "")</f>
        <v>〇</v>
      </c>
      <c r="AP11" s="274" t="str">
        <f>IF(AND(AO11="〇", AN11="〇" ), "対象", "")</f>
        <v>対象</v>
      </c>
      <c r="AQ11" s="274" t="str">
        <f t="shared" ref="AQ11" si="7">IF(COUNTIF(L11:P12, "○") &gt; 0, "〇", "")</f>
        <v>〇</v>
      </c>
      <c r="AR11" s="274" t="str">
        <f>IF(AND(AQ11="〇", AN11="〇" ), "対象", "")</f>
        <v>対象</v>
      </c>
      <c r="AS11" s="274" t="str">
        <f t="shared" ref="AS11" si="8">IF(COUNTIF(Q11:U12, "○") &gt; 0, "〇", "")</f>
        <v>〇</v>
      </c>
      <c r="AT11" s="274" t="str">
        <f>IF(AND(AS11="〇", AN11="〇" ), "対象", "")</f>
        <v>対象</v>
      </c>
      <c r="AU11" s="274" t="str">
        <f t="shared" ref="AU11" si="9">IF(COUNTIF(V11:Z12, "○") &gt; 0, "〇", "")</f>
        <v>〇</v>
      </c>
      <c r="AV11" s="274" t="str">
        <f>IF(AND(AU11="〇", AN11="〇" ), "対象", "")</f>
        <v>対象</v>
      </c>
      <c r="AW11" s="274" t="str">
        <f t="shared" ref="AW11" si="10">IF(COUNTIF(AA11:AE12, "○") &gt; 0, "〇", "")</f>
        <v>〇</v>
      </c>
      <c r="AX11" s="274" t="str">
        <f>IF(AND(AW11="〇", AN11="〇" ), "対象", "")</f>
        <v>対象</v>
      </c>
      <c r="AY11" s="274" t="str">
        <f t="shared" ref="AY11" si="11">IF(COUNTIF(AF11:AJ12, "○") &gt; 0, "〇", "")</f>
        <v>〇</v>
      </c>
      <c r="AZ11" s="274" t="str">
        <f>IF(AND(AY11="〇", AN11="〇" ), "対象", "")</f>
        <v>対象</v>
      </c>
    </row>
    <row r="12" spans="1:52" ht="24" customHeight="1">
      <c r="A12" s="244"/>
      <c r="B12" s="121" t="s">
        <v>152</v>
      </c>
      <c r="C12" s="284"/>
      <c r="D12" s="236"/>
      <c r="E12" s="237"/>
      <c r="F12" s="238"/>
      <c r="G12" s="253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88"/>
      <c r="AN12" s="230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</row>
    <row r="13" spans="1:52" ht="32.25" customHeight="1">
      <c r="A13" s="243">
        <v>4</v>
      </c>
      <c r="B13" s="122" t="s">
        <v>139</v>
      </c>
      <c r="C13" s="283"/>
      <c r="D13" s="249" t="s">
        <v>122</v>
      </c>
      <c r="E13" s="250"/>
      <c r="F13" s="251"/>
      <c r="G13" s="252" t="s">
        <v>147</v>
      </c>
      <c r="H13" s="225" t="s">
        <v>147</v>
      </c>
      <c r="I13" s="225" t="s">
        <v>147</v>
      </c>
      <c r="J13" s="225"/>
      <c r="K13" s="225" t="s">
        <v>147</v>
      </c>
      <c r="L13" s="225" t="s">
        <v>147</v>
      </c>
      <c r="M13" s="225" t="s">
        <v>147</v>
      </c>
      <c r="N13" s="225" t="s">
        <v>147</v>
      </c>
      <c r="O13" s="225" t="s">
        <v>147</v>
      </c>
      <c r="P13" s="225"/>
      <c r="Q13" s="225" t="s">
        <v>147</v>
      </c>
      <c r="R13" s="225" t="s">
        <v>147</v>
      </c>
      <c r="S13" s="225" t="s">
        <v>147</v>
      </c>
      <c r="T13" s="225" t="s">
        <v>147</v>
      </c>
      <c r="U13" s="225"/>
      <c r="V13" s="225" t="s">
        <v>147</v>
      </c>
      <c r="W13" s="225" t="s">
        <v>147</v>
      </c>
      <c r="X13" s="225" t="s">
        <v>147</v>
      </c>
      <c r="Y13" s="225" t="s">
        <v>147</v>
      </c>
      <c r="Z13" s="225"/>
      <c r="AA13" s="225" t="s">
        <v>147</v>
      </c>
      <c r="AB13" s="225" t="s">
        <v>147</v>
      </c>
      <c r="AC13" s="225" t="s">
        <v>147</v>
      </c>
      <c r="AD13" s="225" t="s">
        <v>147</v>
      </c>
      <c r="AE13" s="225"/>
      <c r="AF13" s="225" t="s">
        <v>147</v>
      </c>
      <c r="AG13" s="225" t="s">
        <v>147</v>
      </c>
      <c r="AH13" s="225" t="s">
        <v>147</v>
      </c>
      <c r="AI13" s="225" t="s">
        <v>147</v>
      </c>
      <c r="AJ13" s="287"/>
      <c r="AN13" s="254" t="str">
        <f>VLOOKUP(B13,利用者名簿!$B:$D,3,FALSE)</f>
        <v>〇</v>
      </c>
      <c r="AO13" s="274" t="str">
        <f t="shared" ref="AO13" si="12">IF(COUNTIF(G13:K14, "○") &gt; 0, "〇", "")</f>
        <v>〇</v>
      </c>
      <c r="AP13" s="274" t="str">
        <f>IF(AND(AO13="〇", AN13="〇" ), "対象", "")</f>
        <v>対象</v>
      </c>
      <c r="AQ13" s="274" t="str">
        <f t="shared" ref="AQ13" si="13">IF(COUNTIF(L13:P14, "○") &gt; 0, "〇", "")</f>
        <v>〇</v>
      </c>
      <c r="AR13" s="274" t="str">
        <f>IF(AND(AQ13="〇", AN13="〇" ), "対象", "")</f>
        <v>対象</v>
      </c>
      <c r="AS13" s="274" t="str">
        <f t="shared" ref="AS13" si="14">IF(COUNTIF(Q13:U14, "○") &gt; 0, "〇", "")</f>
        <v>〇</v>
      </c>
      <c r="AT13" s="274" t="str">
        <f>IF(AND(AS13="〇", AN13="〇" ), "対象", "")</f>
        <v>対象</v>
      </c>
      <c r="AU13" s="274" t="str">
        <f t="shared" ref="AU13" si="15">IF(COUNTIF(V13:Z14, "○") &gt; 0, "〇", "")</f>
        <v>〇</v>
      </c>
      <c r="AV13" s="274" t="str">
        <f>IF(AND(AU13="〇", AN13="〇" ), "対象", "")</f>
        <v>対象</v>
      </c>
      <c r="AW13" s="274" t="str">
        <f t="shared" ref="AW13" si="16">IF(COUNTIF(AA13:AE14, "○") &gt; 0, "〇", "")</f>
        <v>〇</v>
      </c>
      <c r="AX13" s="274" t="str">
        <f>IF(AND(AW13="〇", AN13="〇" ), "対象", "")</f>
        <v>対象</v>
      </c>
      <c r="AY13" s="274" t="str">
        <f t="shared" ref="AY13" si="17">IF(COUNTIF(AF13:AJ14, "○") &gt; 0, "〇", "")</f>
        <v>〇</v>
      </c>
      <c r="AZ13" s="274" t="str">
        <f>IF(AND(AY13="〇", AN13="〇" ), "対象", "")</f>
        <v>対象</v>
      </c>
    </row>
    <row r="14" spans="1:52" ht="24" customHeight="1">
      <c r="A14" s="244"/>
      <c r="B14" s="121" t="s">
        <v>153</v>
      </c>
      <c r="C14" s="284"/>
      <c r="D14" s="236"/>
      <c r="E14" s="237"/>
      <c r="F14" s="238"/>
      <c r="G14" s="253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88"/>
      <c r="AN14" s="230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</row>
    <row r="15" spans="1:52" ht="32.25" customHeight="1">
      <c r="A15" s="243">
        <v>5</v>
      </c>
      <c r="B15" s="122" t="s">
        <v>140</v>
      </c>
      <c r="C15" s="283"/>
      <c r="D15" s="249" t="s">
        <v>122</v>
      </c>
      <c r="E15" s="250"/>
      <c r="F15" s="251"/>
      <c r="G15" s="252" t="s">
        <v>147</v>
      </c>
      <c r="H15" s="225" t="s">
        <v>147</v>
      </c>
      <c r="I15" s="225" t="s">
        <v>147</v>
      </c>
      <c r="J15" s="225" t="s">
        <v>147</v>
      </c>
      <c r="K15" s="225"/>
      <c r="L15" s="225" t="s">
        <v>147</v>
      </c>
      <c r="M15" s="225" t="s">
        <v>147</v>
      </c>
      <c r="N15" s="225" t="s">
        <v>147</v>
      </c>
      <c r="O15" s="225" t="s">
        <v>147</v>
      </c>
      <c r="P15" s="225"/>
      <c r="Q15" s="225" t="s">
        <v>147</v>
      </c>
      <c r="R15" s="225" t="s">
        <v>147</v>
      </c>
      <c r="S15" s="225" t="s">
        <v>147</v>
      </c>
      <c r="T15" s="225" t="s">
        <v>147</v>
      </c>
      <c r="U15" s="225"/>
      <c r="V15" s="225" t="s">
        <v>147</v>
      </c>
      <c r="W15" s="225" t="s">
        <v>147</v>
      </c>
      <c r="X15" s="225" t="s">
        <v>147</v>
      </c>
      <c r="Y15" s="225" t="s">
        <v>147</v>
      </c>
      <c r="Z15" s="225"/>
      <c r="AA15" s="225" t="s">
        <v>147</v>
      </c>
      <c r="AB15" s="225" t="s">
        <v>147</v>
      </c>
      <c r="AC15" s="225" t="s">
        <v>147</v>
      </c>
      <c r="AD15" s="225" t="s">
        <v>147</v>
      </c>
      <c r="AE15" s="225"/>
      <c r="AF15" s="225" t="s">
        <v>147</v>
      </c>
      <c r="AG15" s="225" t="s">
        <v>147</v>
      </c>
      <c r="AH15" s="225" t="s">
        <v>147</v>
      </c>
      <c r="AI15" s="225" t="s">
        <v>147</v>
      </c>
      <c r="AJ15" s="287"/>
      <c r="AN15" s="254" t="str">
        <f>VLOOKUP(B15,利用者名簿!$B:$D,3,FALSE)</f>
        <v>〇</v>
      </c>
      <c r="AO15" s="274" t="str">
        <f t="shared" ref="AO15" si="18">IF(COUNTIF(G15:K16, "○") &gt; 0, "〇", "")</f>
        <v>〇</v>
      </c>
      <c r="AP15" s="274" t="str">
        <f>IF(AND(AO15="〇", AN15="〇" ), "対象", "")</f>
        <v>対象</v>
      </c>
      <c r="AQ15" s="274" t="str">
        <f t="shared" ref="AQ15" si="19">IF(COUNTIF(L15:P16, "○") &gt; 0, "〇", "")</f>
        <v>〇</v>
      </c>
      <c r="AR15" s="274" t="str">
        <f>IF(AND(AQ15="〇", AN15="〇" ), "対象", "")</f>
        <v>対象</v>
      </c>
      <c r="AS15" s="274" t="str">
        <f t="shared" ref="AS15" si="20">IF(COUNTIF(Q15:U16, "○") &gt; 0, "〇", "")</f>
        <v>〇</v>
      </c>
      <c r="AT15" s="274" t="str">
        <f>IF(AND(AS15="〇", AN15="〇" ), "対象", "")</f>
        <v>対象</v>
      </c>
      <c r="AU15" s="274" t="str">
        <f t="shared" ref="AU15" si="21">IF(COUNTIF(V15:Z16, "○") &gt; 0, "〇", "")</f>
        <v>〇</v>
      </c>
      <c r="AV15" s="274" t="str">
        <f>IF(AND(AU15="〇", AN15="〇" ), "対象", "")</f>
        <v>対象</v>
      </c>
      <c r="AW15" s="274" t="str">
        <f t="shared" ref="AW15" si="22">IF(COUNTIF(AA15:AE16, "○") &gt; 0, "〇", "")</f>
        <v>〇</v>
      </c>
      <c r="AX15" s="274" t="str">
        <f>IF(AND(AW15="〇", AN15="〇" ), "対象", "")</f>
        <v>対象</v>
      </c>
      <c r="AY15" s="274" t="str">
        <f t="shared" ref="AY15" si="23">IF(COUNTIF(AF15:AJ16, "○") &gt; 0, "〇", "")</f>
        <v>〇</v>
      </c>
      <c r="AZ15" s="274" t="str">
        <f>IF(AND(AY15="〇", AN15="〇" ), "対象", "")</f>
        <v>対象</v>
      </c>
    </row>
    <row r="16" spans="1:52" ht="24" customHeight="1">
      <c r="A16" s="244"/>
      <c r="B16" s="121" t="s">
        <v>154</v>
      </c>
      <c r="C16" s="284"/>
      <c r="D16" s="236"/>
      <c r="E16" s="237"/>
      <c r="F16" s="238"/>
      <c r="G16" s="253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6"/>
      <c r="AJ16" s="288"/>
      <c r="AN16" s="230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</row>
    <row r="17" spans="1:52" ht="32.25" customHeight="1">
      <c r="A17" s="243">
        <v>6</v>
      </c>
      <c r="B17" s="122" t="s">
        <v>141</v>
      </c>
      <c r="C17" s="283"/>
      <c r="D17" s="249" t="s">
        <v>122</v>
      </c>
      <c r="E17" s="250"/>
      <c r="F17" s="251"/>
      <c r="G17" s="252" t="s">
        <v>147</v>
      </c>
      <c r="H17" s="225" t="s">
        <v>147</v>
      </c>
      <c r="I17" s="225" t="s">
        <v>147</v>
      </c>
      <c r="J17" s="225" t="s">
        <v>147</v>
      </c>
      <c r="K17" s="225" t="s">
        <v>147</v>
      </c>
      <c r="L17" s="225"/>
      <c r="M17" s="225" t="s">
        <v>147</v>
      </c>
      <c r="N17" s="225" t="s">
        <v>147</v>
      </c>
      <c r="O17" s="225"/>
      <c r="P17" s="225"/>
      <c r="Q17" s="225" t="s">
        <v>147</v>
      </c>
      <c r="R17" s="225" t="s">
        <v>147</v>
      </c>
      <c r="S17" s="225" t="s">
        <v>147</v>
      </c>
      <c r="T17" s="225" t="s">
        <v>147</v>
      </c>
      <c r="U17" s="225"/>
      <c r="V17" s="225" t="s">
        <v>147</v>
      </c>
      <c r="W17" s="225" t="s">
        <v>147</v>
      </c>
      <c r="X17" s="225"/>
      <c r="Y17" s="225" t="s">
        <v>147</v>
      </c>
      <c r="Z17" s="225"/>
      <c r="AA17" s="225" t="s">
        <v>147</v>
      </c>
      <c r="AB17" s="225" t="s">
        <v>147</v>
      </c>
      <c r="AC17" s="225" t="s">
        <v>147</v>
      </c>
      <c r="AD17" s="225" t="s">
        <v>147</v>
      </c>
      <c r="AE17" s="225"/>
      <c r="AF17" s="225" t="s">
        <v>147</v>
      </c>
      <c r="AG17" s="225" t="s">
        <v>147</v>
      </c>
      <c r="AH17" s="225" t="s">
        <v>147</v>
      </c>
      <c r="AI17" s="225" t="s">
        <v>147</v>
      </c>
      <c r="AJ17" s="287"/>
      <c r="AN17" s="254" t="str">
        <f>VLOOKUP(B17,利用者名簿!$B:$D,3,FALSE)</f>
        <v/>
      </c>
      <c r="AO17" s="274" t="str">
        <f t="shared" ref="AO17" si="24">IF(COUNTIF(G17:K18, "○") &gt; 0, "〇", "")</f>
        <v>〇</v>
      </c>
      <c r="AP17" s="274" t="str">
        <f>IF(AND(AO17="〇", AN17="〇" ), "対象", "")</f>
        <v/>
      </c>
      <c r="AQ17" s="274" t="str">
        <f t="shared" ref="AQ17" si="25">IF(COUNTIF(L17:P18, "○") &gt; 0, "〇", "")</f>
        <v>〇</v>
      </c>
      <c r="AR17" s="274" t="str">
        <f>IF(AND(AQ17="〇", AN17="〇" ), "対象", "")</f>
        <v/>
      </c>
      <c r="AS17" s="274" t="str">
        <f t="shared" ref="AS17" si="26">IF(COUNTIF(Q17:U18, "○") &gt; 0, "〇", "")</f>
        <v>〇</v>
      </c>
      <c r="AT17" s="274" t="str">
        <f>IF(AND(AS17="〇", AN17="〇" ), "対象", "")</f>
        <v/>
      </c>
      <c r="AU17" s="274" t="str">
        <f t="shared" ref="AU17" si="27">IF(COUNTIF(V17:Z18, "○") &gt; 0, "〇", "")</f>
        <v>〇</v>
      </c>
      <c r="AV17" s="274" t="str">
        <f>IF(AND(AU17="〇", AN17="〇" ), "対象", "")</f>
        <v/>
      </c>
      <c r="AW17" s="274" t="str">
        <f t="shared" ref="AW17" si="28">IF(COUNTIF(AA17:AE18, "○") &gt; 0, "〇", "")</f>
        <v>〇</v>
      </c>
      <c r="AX17" s="274" t="str">
        <f>IF(AND(AW17="〇", AN17="〇" ), "対象", "")</f>
        <v/>
      </c>
      <c r="AY17" s="274" t="str">
        <f t="shared" ref="AY17" si="29">IF(COUNTIF(AF17:AJ18, "○") &gt; 0, "〇", "")</f>
        <v>〇</v>
      </c>
      <c r="AZ17" s="274" t="str">
        <f>IF(AND(AY17="〇", AN17="〇" ), "対象", "")</f>
        <v/>
      </c>
    </row>
    <row r="18" spans="1:52" ht="24" customHeight="1">
      <c r="A18" s="244"/>
      <c r="B18" s="121" t="s">
        <v>123</v>
      </c>
      <c r="C18" s="284"/>
      <c r="D18" s="236"/>
      <c r="E18" s="237"/>
      <c r="F18" s="238"/>
      <c r="G18" s="255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89"/>
      <c r="AN18" s="230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</row>
    <row r="19" spans="1:52" ht="32.25" customHeight="1">
      <c r="A19" s="243">
        <v>7</v>
      </c>
      <c r="B19" s="122" t="s">
        <v>142</v>
      </c>
      <c r="C19" s="283"/>
      <c r="D19" s="249" t="s">
        <v>122</v>
      </c>
      <c r="E19" s="250"/>
      <c r="F19" s="251"/>
      <c r="G19" s="252" t="s">
        <v>147</v>
      </c>
      <c r="H19" s="225" t="s">
        <v>147</v>
      </c>
      <c r="I19" s="225" t="s">
        <v>147</v>
      </c>
      <c r="J19" s="225" t="s">
        <v>147</v>
      </c>
      <c r="K19" s="225" t="s">
        <v>147</v>
      </c>
      <c r="L19" s="225" t="s">
        <v>147</v>
      </c>
      <c r="M19" s="225"/>
      <c r="N19" s="225" t="s">
        <v>147</v>
      </c>
      <c r="O19" s="225"/>
      <c r="P19" s="225"/>
      <c r="Q19" s="225" t="s">
        <v>147</v>
      </c>
      <c r="R19" s="225" t="s">
        <v>147</v>
      </c>
      <c r="S19" s="225" t="s">
        <v>147</v>
      </c>
      <c r="T19" s="225" t="s">
        <v>147</v>
      </c>
      <c r="U19" s="225"/>
      <c r="V19" s="225" t="s">
        <v>147</v>
      </c>
      <c r="W19" s="225" t="s">
        <v>147</v>
      </c>
      <c r="X19" s="225"/>
      <c r="Y19" s="225" t="s">
        <v>147</v>
      </c>
      <c r="Z19" s="225"/>
      <c r="AA19" s="225" t="s">
        <v>147</v>
      </c>
      <c r="AB19" s="225" t="s">
        <v>147</v>
      </c>
      <c r="AC19" s="225" t="s">
        <v>147</v>
      </c>
      <c r="AD19" s="225" t="s">
        <v>147</v>
      </c>
      <c r="AE19" s="225"/>
      <c r="AF19" s="225" t="s">
        <v>147</v>
      </c>
      <c r="AG19" s="225" t="s">
        <v>147</v>
      </c>
      <c r="AH19" s="225" t="s">
        <v>147</v>
      </c>
      <c r="AI19" s="225" t="s">
        <v>147</v>
      </c>
      <c r="AJ19" s="287"/>
      <c r="AN19" s="254" t="str">
        <f>VLOOKUP(B19,利用者名簿!$B:$D,3,FALSE)</f>
        <v/>
      </c>
      <c r="AO19" s="274" t="str">
        <f t="shared" ref="AO19" si="30">IF(COUNTIF(G19:K20, "○") &gt; 0, "〇", "")</f>
        <v>〇</v>
      </c>
      <c r="AP19" s="274" t="str">
        <f>IF(AND(AO19="〇", AN19="〇" ), "対象", "")</f>
        <v/>
      </c>
      <c r="AQ19" s="274" t="str">
        <f t="shared" ref="AQ19" si="31">IF(COUNTIF(L19:P20, "○") &gt; 0, "〇", "")</f>
        <v>〇</v>
      </c>
      <c r="AR19" s="274" t="str">
        <f>IF(AND(AQ19="〇", AN19="〇" ), "対象", "")</f>
        <v/>
      </c>
      <c r="AS19" s="274" t="str">
        <f t="shared" ref="AS19" si="32">IF(COUNTIF(Q19:U20, "○") &gt; 0, "〇", "")</f>
        <v>〇</v>
      </c>
      <c r="AT19" s="274" t="str">
        <f>IF(AND(AS19="〇", AN19="〇" ), "対象", "")</f>
        <v/>
      </c>
      <c r="AU19" s="274" t="str">
        <f t="shared" ref="AU19" si="33">IF(COUNTIF(V19:Z20, "○") &gt; 0, "〇", "")</f>
        <v>〇</v>
      </c>
      <c r="AV19" s="274" t="str">
        <f>IF(AND(AU19="〇", AN19="〇" ), "対象", "")</f>
        <v/>
      </c>
      <c r="AW19" s="274" t="str">
        <f t="shared" ref="AW19" si="34">IF(COUNTIF(AA19:AE20, "○") &gt; 0, "〇", "")</f>
        <v>〇</v>
      </c>
      <c r="AX19" s="274" t="str">
        <f>IF(AND(AW19="〇", AN19="〇" ), "対象", "")</f>
        <v/>
      </c>
      <c r="AY19" s="274" t="str">
        <f t="shared" ref="AY19" si="35">IF(COUNTIF(AF19:AJ20, "○") &gt; 0, "〇", "")</f>
        <v>〇</v>
      </c>
      <c r="AZ19" s="274" t="str">
        <f>IF(AND(AY19="〇", AN19="〇" ), "対象", "")</f>
        <v/>
      </c>
    </row>
    <row r="20" spans="1:52" ht="24" customHeight="1">
      <c r="A20" s="244"/>
      <c r="B20" s="121" t="s">
        <v>123</v>
      </c>
      <c r="C20" s="284"/>
      <c r="D20" s="236"/>
      <c r="E20" s="237"/>
      <c r="F20" s="238"/>
      <c r="G20" s="255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89"/>
      <c r="AN20" s="230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</row>
    <row r="21" spans="1:52" ht="32.25" customHeight="1">
      <c r="A21" s="243">
        <v>8</v>
      </c>
      <c r="B21" s="134"/>
      <c r="C21" s="283"/>
      <c r="D21" s="249" t="s">
        <v>122</v>
      </c>
      <c r="E21" s="250"/>
      <c r="F21" s="251"/>
      <c r="G21" s="256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60"/>
      <c r="AJ21" s="262"/>
      <c r="AN21" s="254" t="e">
        <f>VLOOKUP(B21,利用者名簿!$B:$D,3,FALSE)</f>
        <v>#N/A</v>
      </c>
      <c r="AO21" s="274" t="str">
        <f t="shared" ref="AO21" si="36">IF(COUNTIF(G21:K22, "○") &gt; 0, "〇", "")</f>
        <v/>
      </c>
      <c r="AP21" s="274" t="e">
        <f>IF(AND(AO21="〇", AN21="〇" ), "対象", "")</f>
        <v>#N/A</v>
      </c>
      <c r="AQ21" s="274" t="str">
        <f t="shared" ref="AQ21" si="37">IF(COUNTIF(L21:P22, "○") &gt; 0, "〇", "")</f>
        <v/>
      </c>
      <c r="AR21" s="274" t="e">
        <f>IF(AND(AQ21="〇", AN21="〇" ), "対象", "")</f>
        <v>#N/A</v>
      </c>
      <c r="AS21" s="274" t="str">
        <f t="shared" ref="AS21" si="38">IF(COUNTIF(Q21:U22, "○") &gt; 0, "〇", "")</f>
        <v/>
      </c>
      <c r="AT21" s="274" t="e">
        <f>IF(AND(AS21="〇", AN21="〇" ), "対象", "")</f>
        <v>#N/A</v>
      </c>
      <c r="AU21" s="274" t="str">
        <f t="shared" ref="AU21" si="39">IF(COUNTIF(V21:Z22, "○") &gt; 0, "〇", "")</f>
        <v/>
      </c>
      <c r="AV21" s="274" t="e">
        <f>IF(AND(AU21="〇", AN21="〇" ), "対象", "")</f>
        <v>#N/A</v>
      </c>
      <c r="AW21" s="274" t="str">
        <f t="shared" ref="AW21" si="40">IF(COUNTIF(AA21:AE22, "○") &gt; 0, "〇", "")</f>
        <v/>
      </c>
      <c r="AX21" s="274" t="e">
        <f>IF(AND(AW21="〇", AN21="〇" ), "対象", "")</f>
        <v>#N/A</v>
      </c>
      <c r="AY21" s="274" t="str">
        <f t="shared" ref="AY21" si="41">IF(COUNTIF(AF21:AJ22, "○") &gt; 0, "〇", "")</f>
        <v/>
      </c>
      <c r="AZ21" s="274" t="e">
        <f>IF(AND(AY21="〇", AN21="〇" ), "対象", "")</f>
        <v>#N/A</v>
      </c>
    </row>
    <row r="22" spans="1:52" ht="24" customHeight="1">
      <c r="A22" s="244"/>
      <c r="B22" s="121" t="s">
        <v>123</v>
      </c>
      <c r="C22" s="284"/>
      <c r="D22" s="236"/>
      <c r="E22" s="237"/>
      <c r="F22" s="238"/>
      <c r="G22" s="257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61"/>
      <c r="AJ22" s="263"/>
      <c r="AN22" s="230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</row>
    <row r="23" spans="1:52" ht="32.25" customHeight="1">
      <c r="A23" s="243">
        <v>9</v>
      </c>
      <c r="B23" s="134"/>
      <c r="C23" s="283"/>
      <c r="D23" s="249" t="s">
        <v>122</v>
      </c>
      <c r="E23" s="250"/>
      <c r="F23" s="251"/>
      <c r="G23" s="256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60"/>
      <c r="AJ23" s="262"/>
      <c r="AN23" s="254" t="e">
        <f>VLOOKUP(B23,利用者名簿!$B:$D,3,FALSE)</f>
        <v>#N/A</v>
      </c>
      <c r="AO23" s="274" t="str">
        <f t="shared" ref="AO23" si="42">IF(COUNTIF(G23:K24, "○") &gt; 0, "〇", "")</f>
        <v/>
      </c>
      <c r="AP23" s="274" t="e">
        <f>IF(AND(AO23="〇", AN23="〇" ), "対象", "")</f>
        <v>#N/A</v>
      </c>
      <c r="AQ23" s="274" t="str">
        <f t="shared" ref="AQ23" si="43">IF(COUNTIF(L23:P24, "○") &gt; 0, "〇", "")</f>
        <v/>
      </c>
      <c r="AR23" s="274" t="e">
        <f>IF(AND(AQ23="〇", AN23="〇" ), "対象", "")</f>
        <v>#N/A</v>
      </c>
      <c r="AS23" s="274" t="str">
        <f t="shared" ref="AS23" si="44">IF(COUNTIF(Q23:U24, "○") &gt; 0, "〇", "")</f>
        <v/>
      </c>
      <c r="AT23" s="274" t="e">
        <f>IF(AND(AS23="〇", AN23="〇" ), "対象", "")</f>
        <v>#N/A</v>
      </c>
      <c r="AU23" s="274" t="str">
        <f t="shared" ref="AU23" si="45">IF(COUNTIF(V23:Z24, "○") &gt; 0, "〇", "")</f>
        <v/>
      </c>
      <c r="AV23" s="274" t="e">
        <f>IF(AND(AU23="〇", AN23="〇" ), "対象", "")</f>
        <v>#N/A</v>
      </c>
      <c r="AW23" s="274" t="str">
        <f t="shared" ref="AW23" si="46">IF(COUNTIF(AA23:AE24, "○") &gt; 0, "〇", "")</f>
        <v/>
      </c>
      <c r="AX23" s="274" t="e">
        <f>IF(AND(AW23="〇", AN23="〇" ), "対象", "")</f>
        <v>#N/A</v>
      </c>
      <c r="AY23" s="274" t="str">
        <f t="shared" ref="AY23" si="47">IF(COUNTIF(AF23:AJ24, "○") &gt; 0, "〇", "")</f>
        <v/>
      </c>
      <c r="AZ23" s="274" t="e">
        <f>IF(AND(AY23="〇", AN23="〇" ), "対象", "")</f>
        <v>#N/A</v>
      </c>
    </row>
    <row r="24" spans="1:52" ht="24" customHeight="1">
      <c r="A24" s="244"/>
      <c r="B24" s="121" t="s">
        <v>123</v>
      </c>
      <c r="C24" s="284"/>
      <c r="D24" s="236"/>
      <c r="E24" s="237"/>
      <c r="F24" s="238"/>
      <c r="G24" s="257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61"/>
      <c r="AJ24" s="263"/>
      <c r="AN24" s="230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</row>
    <row r="25" spans="1:52" ht="32.25" customHeight="1">
      <c r="A25" s="243">
        <v>10</v>
      </c>
      <c r="B25" s="134"/>
      <c r="C25" s="283"/>
      <c r="D25" s="249" t="s">
        <v>122</v>
      </c>
      <c r="E25" s="250"/>
      <c r="F25" s="251"/>
      <c r="G25" s="256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60"/>
      <c r="AJ25" s="262"/>
      <c r="AN25" s="254" t="e">
        <f>VLOOKUP(B25,利用者名簿!$B:$D,3,FALSE)</f>
        <v>#N/A</v>
      </c>
      <c r="AO25" s="274" t="str">
        <f t="shared" ref="AO25" si="48">IF(COUNTIF(G25:K26, "○") &gt; 0, "〇", "")</f>
        <v/>
      </c>
      <c r="AP25" s="274" t="e">
        <f>IF(AND(AO25="〇", AN25="〇" ), "対象", "")</f>
        <v>#N/A</v>
      </c>
      <c r="AQ25" s="274" t="str">
        <f t="shared" ref="AQ25" si="49">IF(COUNTIF(L25:P26, "○") &gt; 0, "〇", "")</f>
        <v/>
      </c>
      <c r="AR25" s="274" t="e">
        <f>IF(AND(AQ25="〇", AN25="〇" ), "対象", "")</f>
        <v>#N/A</v>
      </c>
      <c r="AS25" s="274" t="str">
        <f t="shared" ref="AS25" si="50">IF(COUNTIF(Q25:U26, "○") &gt; 0, "〇", "")</f>
        <v/>
      </c>
      <c r="AT25" s="274" t="e">
        <f>IF(AND(AS25="〇", AN25="〇" ), "対象", "")</f>
        <v>#N/A</v>
      </c>
      <c r="AU25" s="274" t="str">
        <f t="shared" ref="AU25" si="51">IF(COUNTIF(V25:Z26, "○") &gt; 0, "〇", "")</f>
        <v/>
      </c>
      <c r="AV25" s="274" t="e">
        <f>IF(AND(AU25="〇", AN25="〇" ), "対象", "")</f>
        <v>#N/A</v>
      </c>
      <c r="AW25" s="274" t="str">
        <f t="shared" ref="AW25" si="52">IF(COUNTIF(AA25:AE26, "○") &gt; 0, "〇", "")</f>
        <v/>
      </c>
      <c r="AX25" s="274" t="e">
        <f>IF(AND(AW25="〇", AN25="〇" ), "対象", "")</f>
        <v>#N/A</v>
      </c>
      <c r="AY25" s="274" t="str">
        <f t="shared" ref="AY25" si="53">IF(COUNTIF(AF25:AJ26, "○") &gt; 0, "〇", "")</f>
        <v/>
      </c>
      <c r="AZ25" s="274" t="e">
        <f>IF(AND(AY25="〇", AN25="〇" ), "対象", "")</f>
        <v>#N/A</v>
      </c>
    </row>
    <row r="26" spans="1:52" ht="24" customHeight="1" thickBot="1">
      <c r="A26" s="264"/>
      <c r="B26" s="124" t="s">
        <v>123</v>
      </c>
      <c r="C26" s="290"/>
      <c r="D26" s="266"/>
      <c r="E26" s="267"/>
      <c r="F26" s="268"/>
      <c r="G26" s="269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2"/>
      <c r="AJ26" s="273"/>
      <c r="AN26" s="229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</row>
    <row r="27" spans="1:52" ht="40.5" customHeight="1" thickTop="1">
      <c r="A27" s="275" t="s">
        <v>124</v>
      </c>
      <c r="B27" s="276"/>
      <c r="C27" s="276"/>
      <c r="D27" s="276"/>
      <c r="E27" s="276"/>
      <c r="F27" s="277"/>
      <c r="G27" s="95"/>
      <c r="H27" s="88"/>
      <c r="I27" s="89"/>
      <c r="J27" s="88"/>
      <c r="K27" s="89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8"/>
      <c r="AK27" s="94"/>
      <c r="AL27" s="92"/>
      <c r="AM27" s="92"/>
      <c r="AN27" s="91"/>
      <c r="AO27" s="91"/>
      <c r="AP27" s="91">
        <f>COUNTIF(AP7:AP26, "対象")</f>
        <v>5</v>
      </c>
      <c r="AQ27" s="91"/>
      <c r="AR27" s="91">
        <f t="shared" ref="AR27" si="54">COUNTIF(AR7:AR26, "対象")</f>
        <v>5</v>
      </c>
      <c r="AS27" s="91"/>
      <c r="AT27" s="91">
        <f t="shared" ref="AT27" si="55">COUNTIF(AT7:AT26, "対象")</f>
        <v>5</v>
      </c>
      <c r="AU27" s="91"/>
      <c r="AV27" s="91">
        <f t="shared" ref="AV27" si="56">COUNTIF(AV7:AV26, "対象")</f>
        <v>5</v>
      </c>
      <c r="AW27" s="91"/>
      <c r="AX27" s="91">
        <f>COUNTIF(AX7:AX26, "対象")</f>
        <v>5</v>
      </c>
      <c r="AY27" s="91"/>
      <c r="AZ27" s="91">
        <f t="shared" ref="AZ27" si="57">COUNTIF(AZ7:AZ26, "対象")</f>
        <v>5</v>
      </c>
    </row>
    <row r="28" spans="1:52" ht="18" customHeight="1">
      <c r="A28" s="270" t="s">
        <v>125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90"/>
      <c r="AM28" s="90"/>
    </row>
    <row r="29" spans="1:52" ht="18" customHeight="1">
      <c r="A29" s="270" t="s">
        <v>126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90"/>
      <c r="AM29" s="90"/>
    </row>
    <row r="30" spans="1:52" ht="18" customHeight="1">
      <c r="A30" s="270" t="s">
        <v>127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90"/>
      <c r="AM30" s="90"/>
    </row>
    <row r="34" ht="14.25" customHeight="1"/>
    <row r="35" ht="14.25" customHeight="1"/>
    <row r="36" ht="15" customHeight="1"/>
    <row r="37" ht="18" customHeight="1"/>
    <row r="38" ht="13.5" customHeight="1"/>
    <row r="39" ht="17.25" customHeight="1"/>
    <row r="40" ht="13.5" customHeight="1"/>
    <row r="41" ht="17.25" customHeight="1"/>
    <row r="42" ht="13.5" customHeight="1"/>
    <row r="43" ht="17.25" customHeight="1"/>
  </sheetData>
  <mergeCells count="483">
    <mergeCell ref="A30:AK30"/>
    <mergeCell ref="AX25:AX26"/>
    <mergeCell ref="AY25:AY26"/>
    <mergeCell ref="AZ25:AZ26"/>
    <mergeCell ref="A27:F27"/>
    <mergeCell ref="A28:AK28"/>
    <mergeCell ref="A29:AK29"/>
    <mergeCell ref="AR25:AR26"/>
    <mergeCell ref="AS25:AS26"/>
    <mergeCell ref="AT25:AT26"/>
    <mergeCell ref="AU25:AU26"/>
    <mergeCell ref="AV25:AV26"/>
    <mergeCell ref="AW25:AW26"/>
    <mergeCell ref="AI25:AI26"/>
    <mergeCell ref="AJ25:AJ26"/>
    <mergeCell ref="AN25:AN26"/>
    <mergeCell ref="AO25:AO26"/>
    <mergeCell ref="AP25:AP26"/>
    <mergeCell ref="AQ25:AQ26"/>
    <mergeCell ref="AC25:AC26"/>
    <mergeCell ref="AD25:AD26"/>
    <mergeCell ref="AE25:AE26"/>
    <mergeCell ref="AF25:AF26"/>
    <mergeCell ref="AG25:AG26"/>
    <mergeCell ref="AH25:AH26"/>
    <mergeCell ref="W25:W26"/>
    <mergeCell ref="X25:X26"/>
    <mergeCell ref="Y25:Y26"/>
    <mergeCell ref="Z25:Z26"/>
    <mergeCell ref="AA25:AA26"/>
    <mergeCell ref="AB25:AB26"/>
    <mergeCell ref="Q25:Q26"/>
    <mergeCell ref="R25:R26"/>
    <mergeCell ref="S25:S26"/>
    <mergeCell ref="T25:T26"/>
    <mergeCell ref="U25:U26"/>
    <mergeCell ref="V25:V26"/>
    <mergeCell ref="K25:K26"/>
    <mergeCell ref="L25:L26"/>
    <mergeCell ref="M25:M26"/>
    <mergeCell ref="N25:N26"/>
    <mergeCell ref="O25:O26"/>
    <mergeCell ref="P25:P26"/>
    <mergeCell ref="AX23:AX24"/>
    <mergeCell ref="AY23:AY24"/>
    <mergeCell ref="AZ23:AZ24"/>
    <mergeCell ref="AT23:AT24"/>
    <mergeCell ref="AU23:AU24"/>
    <mergeCell ref="AV23:AV24"/>
    <mergeCell ref="AW23:AW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A25:A26"/>
    <mergeCell ref="C25:C26"/>
    <mergeCell ref="D25:F26"/>
    <mergeCell ref="G25:G26"/>
    <mergeCell ref="H25:H26"/>
    <mergeCell ref="I25:I26"/>
    <mergeCell ref="J25:J26"/>
    <mergeCell ref="AR23:AR24"/>
    <mergeCell ref="AS23:AS24"/>
    <mergeCell ref="AI23:AI24"/>
    <mergeCell ref="AJ23:AJ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AG23:AG24"/>
    <mergeCell ref="AH23:AH24"/>
    <mergeCell ref="W23:W24"/>
    <mergeCell ref="X23:X24"/>
    <mergeCell ref="Y23:Y24"/>
    <mergeCell ref="M23:M24"/>
    <mergeCell ref="N23:N24"/>
    <mergeCell ref="O23:O24"/>
    <mergeCell ref="P23:P24"/>
    <mergeCell ref="AX21:AX22"/>
    <mergeCell ref="AY21:AY22"/>
    <mergeCell ref="AZ21:AZ22"/>
    <mergeCell ref="A23:A24"/>
    <mergeCell ref="C23:C24"/>
    <mergeCell ref="D23:F24"/>
    <mergeCell ref="G23:G24"/>
    <mergeCell ref="H23:H24"/>
    <mergeCell ref="I23:I24"/>
    <mergeCell ref="J23:J24"/>
    <mergeCell ref="AR21:AR22"/>
    <mergeCell ref="AS21:AS22"/>
    <mergeCell ref="AT21:AT22"/>
    <mergeCell ref="AU21:AU22"/>
    <mergeCell ref="AV21:AV22"/>
    <mergeCell ref="AW21:AW22"/>
    <mergeCell ref="AI21:AI22"/>
    <mergeCell ref="AJ21:AJ22"/>
    <mergeCell ref="AN21:AN22"/>
    <mergeCell ref="AO21:AO22"/>
    <mergeCell ref="AP21:AP22"/>
    <mergeCell ref="AQ21:AQ22"/>
    <mergeCell ref="AC21:AC22"/>
    <mergeCell ref="AD21:AD22"/>
    <mergeCell ref="AE21:AE22"/>
    <mergeCell ref="AF21:AF22"/>
    <mergeCell ref="AG21:AG22"/>
    <mergeCell ref="AH21:AH22"/>
    <mergeCell ref="W21:W22"/>
    <mergeCell ref="X21:X22"/>
    <mergeCell ref="Y21:Y22"/>
    <mergeCell ref="Z21:Z22"/>
    <mergeCell ref="AA21:AA22"/>
    <mergeCell ref="AB21:AB22"/>
    <mergeCell ref="Q21:Q22"/>
    <mergeCell ref="R21:R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X19:AX20"/>
    <mergeCell ref="AY19:AY20"/>
    <mergeCell ref="AZ19:AZ20"/>
    <mergeCell ref="A21:A22"/>
    <mergeCell ref="C21:C22"/>
    <mergeCell ref="D21:F22"/>
    <mergeCell ref="G21:G22"/>
    <mergeCell ref="H21:H22"/>
    <mergeCell ref="I21:I22"/>
    <mergeCell ref="J21:J22"/>
    <mergeCell ref="AR19:AR20"/>
    <mergeCell ref="AS19:AS20"/>
    <mergeCell ref="AT19:AT20"/>
    <mergeCell ref="AU19:AU20"/>
    <mergeCell ref="AV19:AV20"/>
    <mergeCell ref="AW19:AW20"/>
    <mergeCell ref="AI19:AI20"/>
    <mergeCell ref="AJ19:AJ20"/>
    <mergeCell ref="AN19:AN20"/>
    <mergeCell ref="AO19:AO20"/>
    <mergeCell ref="AP19:AP20"/>
    <mergeCell ref="AQ19:AQ20"/>
    <mergeCell ref="AC19:AC20"/>
    <mergeCell ref="AD19:AD20"/>
    <mergeCell ref="AE19:AE20"/>
    <mergeCell ref="AF19:AF20"/>
    <mergeCell ref="AG19:AG20"/>
    <mergeCell ref="AH19:AH20"/>
    <mergeCell ref="W19:W20"/>
    <mergeCell ref="X19:X20"/>
    <mergeCell ref="Y19:Y20"/>
    <mergeCell ref="Z19:Z20"/>
    <mergeCell ref="AA19:AA20"/>
    <mergeCell ref="AB19:AB20"/>
    <mergeCell ref="Q19:Q20"/>
    <mergeCell ref="R19:R20"/>
    <mergeCell ref="S19:S20"/>
    <mergeCell ref="T19:T20"/>
    <mergeCell ref="U19:U20"/>
    <mergeCell ref="V19:V20"/>
    <mergeCell ref="K19:K20"/>
    <mergeCell ref="L19:L20"/>
    <mergeCell ref="M19:M20"/>
    <mergeCell ref="N19:N20"/>
    <mergeCell ref="O19:O20"/>
    <mergeCell ref="P19:P20"/>
    <mergeCell ref="AX17:AX18"/>
    <mergeCell ref="AY17:AY18"/>
    <mergeCell ref="AZ17:AZ18"/>
    <mergeCell ref="A19:A20"/>
    <mergeCell ref="C19:C20"/>
    <mergeCell ref="D19:F20"/>
    <mergeCell ref="G19:G20"/>
    <mergeCell ref="H19:H20"/>
    <mergeCell ref="I19:I20"/>
    <mergeCell ref="J19:J20"/>
    <mergeCell ref="AR17:AR18"/>
    <mergeCell ref="AS17:AS18"/>
    <mergeCell ref="AT17:AT18"/>
    <mergeCell ref="AU17:AU18"/>
    <mergeCell ref="AV17:AV18"/>
    <mergeCell ref="AW17:AW18"/>
    <mergeCell ref="AI17:AI18"/>
    <mergeCell ref="AJ17:AJ18"/>
    <mergeCell ref="AN17:AN18"/>
    <mergeCell ref="AO17:AO18"/>
    <mergeCell ref="AP17:AP18"/>
    <mergeCell ref="AQ17:AQ18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Q17:Q18"/>
    <mergeCell ref="R17:R18"/>
    <mergeCell ref="S17:S18"/>
    <mergeCell ref="T17:T18"/>
    <mergeCell ref="U17:U18"/>
    <mergeCell ref="V17:V18"/>
    <mergeCell ref="K17:K18"/>
    <mergeCell ref="L17:L18"/>
    <mergeCell ref="M17:M18"/>
    <mergeCell ref="N17:N18"/>
    <mergeCell ref="O17:O18"/>
    <mergeCell ref="P17:P18"/>
    <mergeCell ref="AX15:AX16"/>
    <mergeCell ref="AY15:AY16"/>
    <mergeCell ref="AZ15:AZ16"/>
    <mergeCell ref="A17:A18"/>
    <mergeCell ref="C17:C18"/>
    <mergeCell ref="D17:F18"/>
    <mergeCell ref="G17:G18"/>
    <mergeCell ref="H17:H18"/>
    <mergeCell ref="I17:I18"/>
    <mergeCell ref="J17:J18"/>
    <mergeCell ref="AR15:AR16"/>
    <mergeCell ref="AS15:AS16"/>
    <mergeCell ref="AT15:AT16"/>
    <mergeCell ref="AU15:AU16"/>
    <mergeCell ref="AV15:AV16"/>
    <mergeCell ref="AW15:AW16"/>
    <mergeCell ref="AI15:AI16"/>
    <mergeCell ref="AJ15:AJ16"/>
    <mergeCell ref="AN15:AN16"/>
    <mergeCell ref="AO15:AO16"/>
    <mergeCell ref="AP15:AP16"/>
    <mergeCell ref="AQ15:AQ16"/>
    <mergeCell ref="AC15:AC16"/>
    <mergeCell ref="AD15:AD16"/>
    <mergeCell ref="AE15:AE16"/>
    <mergeCell ref="AF15:AF16"/>
    <mergeCell ref="AG15:AG16"/>
    <mergeCell ref="AH15:AH16"/>
    <mergeCell ref="W15:W16"/>
    <mergeCell ref="X15:X16"/>
    <mergeCell ref="Y15:Y16"/>
    <mergeCell ref="Z15:Z16"/>
    <mergeCell ref="AA15:AA16"/>
    <mergeCell ref="AB15:AB16"/>
    <mergeCell ref="Q15:Q16"/>
    <mergeCell ref="R15:R16"/>
    <mergeCell ref="S15:S16"/>
    <mergeCell ref="T15:T16"/>
    <mergeCell ref="U15:U16"/>
    <mergeCell ref="V15:V16"/>
    <mergeCell ref="K15:K16"/>
    <mergeCell ref="L15:L16"/>
    <mergeCell ref="M15:M16"/>
    <mergeCell ref="N15:N16"/>
    <mergeCell ref="O15:O16"/>
    <mergeCell ref="P15:P16"/>
    <mergeCell ref="AX13:AX14"/>
    <mergeCell ref="AY13:AY14"/>
    <mergeCell ref="AZ13:AZ14"/>
    <mergeCell ref="A15:A16"/>
    <mergeCell ref="C15:C16"/>
    <mergeCell ref="D15:F16"/>
    <mergeCell ref="G15:G16"/>
    <mergeCell ref="H15:H16"/>
    <mergeCell ref="I15:I16"/>
    <mergeCell ref="J15:J16"/>
    <mergeCell ref="AR13:AR14"/>
    <mergeCell ref="AS13:AS14"/>
    <mergeCell ref="AT13:AT14"/>
    <mergeCell ref="AU13:AU14"/>
    <mergeCell ref="AV13:AV14"/>
    <mergeCell ref="AW13:AW14"/>
    <mergeCell ref="AI13:AI14"/>
    <mergeCell ref="AJ13:AJ14"/>
    <mergeCell ref="AN13:AN14"/>
    <mergeCell ref="AO13:AO14"/>
    <mergeCell ref="AP13:AP14"/>
    <mergeCell ref="AQ13:AQ14"/>
    <mergeCell ref="AC13:AC14"/>
    <mergeCell ref="AD13:AD14"/>
    <mergeCell ref="AE13:AE14"/>
    <mergeCell ref="AF13:AF14"/>
    <mergeCell ref="AG13:AG14"/>
    <mergeCell ref="AH13:AH14"/>
    <mergeCell ref="W13:W14"/>
    <mergeCell ref="X13:X14"/>
    <mergeCell ref="Y13:Y14"/>
    <mergeCell ref="Z13:Z14"/>
    <mergeCell ref="AA13:AA14"/>
    <mergeCell ref="AB13:AB14"/>
    <mergeCell ref="Q13:Q14"/>
    <mergeCell ref="R13:R14"/>
    <mergeCell ref="S13:S14"/>
    <mergeCell ref="T13:T14"/>
    <mergeCell ref="U13:U14"/>
    <mergeCell ref="V13:V14"/>
    <mergeCell ref="K13:K14"/>
    <mergeCell ref="L13:L14"/>
    <mergeCell ref="M13:M14"/>
    <mergeCell ref="N13:N14"/>
    <mergeCell ref="O13:O14"/>
    <mergeCell ref="P13:P14"/>
    <mergeCell ref="AX11:AX12"/>
    <mergeCell ref="AY11:AY12"/>
    <mergeCell ref="AZ11:AZ12"/>
    <mergeCell ref="A13:A14"/>
    <mergeCell ref="C13:C14"/>
    <mergeCell ref="D13:F14"/>
    <mergeCell ref="G13:G14"/>
    <mergeCell ref="H13:H14"/>
    <mergeCell ref="I13:I14"/>
    <mergeCell ref="J13:J14"/>
    <mergeCell ref="AR11:AR12"/>
    <mergeCell ref="AS11:AS12"/>
    <mergeCell ref="AT11:AT12"/>
    <mergeCell ref="AU11:AU12"/>
    <mergeCell ref="AV11:AV12"/>
    <mergeCell ref="AW11:AW12"/>
    <mergeCell ref="AI11:AI12"/>
    <mergeCell ref="AJ11:AJ12"/>
    <mergeCell ref="AN11:AN12"/>
    <mergeCell ref="AO11:AO12"/>
    <mergeCell ref="AP11:AP12"/>
    <mergeCell ref="AQ11:AQ12"/>
    <mergeCell ref="AC11:AC12"/>
    <mergeCell ref="AD11:AD12"/>
    <mergeCell ref="AE11:AE12"/>
    <mergeCell ref="AF11:AF12"/>
    <mergeCell ref="AG11:AG12"/>
    <mergeCell ref="AH11:AH12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X9:AX10"/>
    <mergeCell ref="AY9:AY10"/>
    <mergeCell ref="AZ9:AZ10"/>
    <mergeCell ref="A11:A12"/>
    <mergeCell ref="C11:C12"/>
    <mergeCell ref="D11:F12"/>
    <mergeCell ref="G11:G12"/>
    <mergeCell ref="H11:H12"/>
    <mergeCell ref="I11:I12"/>
    <mergeCell ref="J11:J12"/>
    <mergeCell ref="AR9:AR10"/>
    <mergeCell ref="AS9:AS10"/>
    <mergeCell ref="AT9:AT10"/>
    <mergeCell ref="AU9:AU10"/>
    <mergeCell ref="AV9:AV10"/>
    <mergeCell ref="AW9:AW10"/>
    <mergeCell ref="AI9:AI10"/>
    <mergeCell ref="AJ9:AJ10"/>
    <mergeCell ref="AN9:AN10"/>
    <mergeCell ref="AO9:AO10"/>
    <mergeCell ref="AP9:AP10"/>
    <mergeCell ref="AQ9:AQ10"/>
    <mergeCell ref="AC9:AC10"/>
    <mergeCell ref="AD9:AD10"/>
    <mergeCell ref="AE9:AE10"/>
    <mergeCell ref="AF9:AF10"/>
    <mergeCell ref="AG9:AG10"/>
    <mergeCell ref="AH9:AH10"/>
    <mergeCell ref="W9:W10"/>
    <mergeCell ref="X9:X10"/>
    <mergeCell ref="Y9:Y10"/>
    <mergeCell ref="Z9:Z10"/>
    <mergeCell ref="AA9:AA10"/>
    <mergeCell ref="AB9:AB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AY7:AY8"/>
    <mergeCell ref="AZ7:AZ8"/>
    <mergeCell ref="A9:A10"/>
    <mergeCell ref="C9:C10"/>
    <mergeCell ref="D9:F10"/>
    <mergeCell ref="G9:G10"/>
    <mergeCell ref="H9:H10"/>
    <mergeCell ref="I9:I10"/>
    <mergeCell ref="J9:J10"/>
    <mergeCell ref="AR7:AR8"/>
    <mergeCell ref="AS7:AS8"/>
    <mergeCell ref="AT7:AT8"/>
    <mergeCell ref="AU7:AU8"/>
    <mergeCell ref="AV7:AV8"/>
    <mergeCell ref="AW7:AW8"/>
    <mergeCell ref="AI7:AI8"/>
    <mergeCell ref="AJ7:AJ8"/>
    <mergeCell ref="AN7:AN8"/>
    <mergeCell ref="AO7:AO8"/>
    <mergeCell ref="AP7:AP8"/>
    <mergeCell ref="AQ7:AQ8"/>
    <mergeCell ref="AC7:AC8"/>
    <mergeCell ref="AD7:AD8"/>
    <mergeCell ref="Q9:Q10"/>
    <mergeCell ref="AG7:AG8"/>
    <mergeCell ref="AH7:AH8"/>
    <mergeCell ref="W7:W8"/>
    <mergeCell ref="X7:X8"/>
    <mergeCell ref="Y7:Y8"/>
    <mergeCell ref="Z7:Z8"/>
    <mergeCell ref="AA7:AA8"/>
    <mergeCell ref="AB7:AB8"/>
    <mergeCell ref="AX7:AX8"/>
    <mergeCell ref="AU5:AV5"/>
    <mergeCell ref="AW5:AX5"/>
    <mergeCell ref="AY5:AZ5"/>
    <mergeCell ref="A7:A8"/>
    <mergeCell ref="C7:C8"/>
    <mergeCell ref="D7:F8"/>
    <mergeCell ref="G7:G8"/>
    <mergeCell ref="H7:H8"/>
    <mergeCell ref="I7:I8"/>
    <mergeCell ref="J7:J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AE7:AE8"/>
    <mergeCell ref="AF7:AF8"/>
    <mergeCell ref="AA4:AE4"/>
    <mergeCell ref="AF4:AJ4"/>
    <mergeCell ref="AN5:AN6"/>
    <mergeCell ref="AO5:AP5"/>
    <mergeCell ref="AQ5:AR5"/>
    <mergeCell ref="AS5:AT5"/>
    <mergeCell ref="F2:Y2"/>
    <mergeCell ref="AA2:AC2"/>
    <mergeCell ref="A4:A6"/>
    <mergeCell ref="B4:B6"/>
    <mergeCell ref="C4:C6"/>
    <mergeCell ref="D4:D6"/>
    <mergeCell ref="G4:K4"/>
    <mergeCell ref="L4:P4"/>
    <mergeCell ref="Q4:U4"/>
    <mergeCell ref="V4:Z4"/>
  </mergeCells>
  <phoneticPr fontId="1"/>
  <pageMargins left="0.35433070866141736" right="0.11811023622047245" top="0.19685039370078741" bottom="0.15748031496062992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zoomScaleNormal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47" t="s">
        <v>167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13" ht="30.75" customHeight="1" thickTop="1">
      <c r="A2" s="150" t="s">
        <v>168</v>
      </c>
      <c r="B2" s="301" t="s">
        <v>5</v>
      </c>
      <c r="C2" s="302"/>
      <c r="D2" s="151" t="s">
        <v>169</v>
      </c>
      <c r="E2" s="303" t="s">
        <v>10</v>
      </c>
      <c r="F2" s="304"/>
      <c r="G2" s="152" t="s">
        <v>4</v>
      </c>
      <c r="H2" s="305">
        <f>SUMIFS( 支出明細!E:E, 支出明細!D:D, E2, 支出明細!B:B, "&gt;=" &amp; DATEVALUE(K2 &amp; "/01"), 支出明細!B:B, "&lt;=" &amp; EOMONTH(DATEVALUE(M2 &amp; "/01"), 0) )</f>
        <v>8400</v>
      </c>
      <c r="I2" s="306"/>
      <c r="J2" s="153" t="s">
        <v>170</v>
      </c>
      <c r="K2" s="154" t="s">
        <v>171</v>
      </c>
      <c r="L2" s="155" t="s">
        <v>172</v>
      </c>
      <c r="M2" s="156" t="s">
        <v>173</v>
      </c>
    </row>
    <row r="3" spans="1:13" ht="13.5" customHeight="1">
      <c r="A3" s="157" t="s">
        <v>174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9"/>
    </row>
    <row r="4" spans="1:13" ht="13.5" customHeight="1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2"/>
    </row>
    <row r="5" spans="1:13" ht="13.5" customHeight="1">
      <c r="A5" s="160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2"/>
    </row>
    <row r="6" spans="1:13" ht="13.5" customHeight="1">
      <c r="A6" s="160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2"/>
    </row>
    <row r="7" spans="1:13" ht="13.5" customHeigh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2"/>
    </row>
    <row r="8" spans="1:13" ht="13.5" customHeight="1">
      <c r="A8" s="160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2"/>
    </row>
    <row r="9" spans="1:13" ht="18.75" customHeight="1">
      <c r="A9" s="160"/>
      <c r="B9" s="307" t="s">
        <v>175</v>
      </c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162"/>
    </row>
    <row r="10" spans="1:13" ht="18.75" customHeight="1">
      <c r="A10" s="160"/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162"/>
    </row>
    <row r="11" spans="1:13" ht="18.75" customHeight="1">
      <c r="A11" s="160"/>
      <c r="B11" s="161"/>
      <c r="C11" s="161"/>
      <c r="D11" s="148"/>
      <c r="E11" s="308" t="s">
        <v>176</v>
      </c>
      <c r="F11" s="308"/>
      <c r="G11" s="309" t="s">
        <v>4</v>
      </c>
      <c r="H11" s="310"/>
      <c r="I11" s="163" t="s">
        <v>177</v>
      </c>
      <c r="J11" s="161"/>
      <c r="K11" s="161"/>
      <c r="L11" s="161"/>
      <c r="M11" s="162"/>
    </row>
    <row r="12" spans="1:13" ht="18.75" customHeight="1">
      <c r="A12" s="160"/>
      <c r="B12" s="161"/>
      <c r="C12" s="161"/>
      <c r="D12" s="161"/>
      <c r="E12" s="296" t="s">
        <v>178</v>
      </c>
      <c r="F12" s="296"/>
      <c r="G12" s="297">
        <v>8400</v>
      </c>
      <c r="H12" s="298"/>
      <c r="I12" s="296" t="s">
        <v>179</v>
      </c>
      <c r="J12" s="161"/>
      <c r="K12" s="161"/>
      <c r="L12" s="161"/>
      <c r="M12" s="162"/>
    </row>
    <row r="13" spans="1:13" ht="18.75" customHeight="1">
      <c r="A13" s="160"/>
      <c r="B13" s="161"/>
      <c r="C13" s="161"/>
      <c r="D13" s="161"/>
      <c r="E13" s="296"/>
      <c r="F13" s="296"/>
      <c r="G13" s="299"/>
      <c r="H13" s="300"/>
      <c r="I13" s="296"/>
      <c r="J13" s="161"/>
      <c r="K13" s="161"/>
      <c r="L13" s="161"/>
      <c r="M13" s="162"/>
    </row>
    <row r="14" spans="1:13" ht="18.75" customHeight="1">
      <c r="A14" s="160"/>
      <c r="B14" s="161"/>
      <c r="C14" s="161"/>
      <c r="D14" s="161"/>
      <c r="E14" s="296"/>
      <c r="F14" s="296"/>
      <c r="G14" s="297"/>
      <c r="H14" s="298"/>
      <c r="I14" s="296"/>
      <c r="J14" s="161"/>
      <c r="K14" s="161"/>
      <c r="L14" s="161"/>
      <c r="M14" s="162"/>
    </row>
    <row r="15" spans="1:13" ht="18.75" customHeight="1">
      <c r="A15" s="160"/>
      <c r="B15" s="161"/>
      <c r="C15" s="161"/>
      <c r="D15" s="161"/>
      <c r="E15" s="296"/>
      <c r="F15" s="296"/>
      <c r="G15" s="299"/>
      <c r="H15" s="300"/>
      <c r="I15" s="296"/>
      <c r="J15" s="161"/>
      <c r="K15" s="161"/>
      <c r="L15" s="161"/>
      <c r="M15" s="162"/>
    </row>
    <row r="16" spans="1:13" ht="18.75" customHeight="1">
      <c r="A16" s="160"/>
      <c r="B16" s="161"/>
      <c r="C16" s="161"/>
      <c r="D16" s="161"/>
      <c r="E16" s="296"/>
      <c r="F16" s="296"/>
      <c r="G16" s="297"/>
      <c r="H16" s="298"/>
      <c r="I16" s="296"/>
      <c r="J16" s="161"/>
      <c r="K16" s="161"/>
      <c r="L16" s="161"/>
      <c r="M16" s="162"/>
    </row>
    <row r="17" spans="1:13" ht="18.75" customHeight="1">
      <c r="A17" s="160"/>
      <c r="B17" s="161"/>
      <c r="C17" s="161"/>
      <c r="D17" s="161"/>
      <c r="E17" s="296"/>
      <c r="F17" s="296"/>
      <c r="G17" s="299"/>
      <c r="H17" s="300"/>
      <c r="I17" s="296"/>
      <c r="J17" s="161"/>
      <c r="K17" s="161"/>
      <c r="L17" s="161"/>
      <c r="M17" s="162"/>
    </row>
    <row r="18" spans="1:13" ht="18.75" customHeight="1">
      <c r="A18" s="160"/>
      <c r="B18" s="161"/>
      <c r="C18" s="161"/>
      <c r="D18" s="161"/>
      <c r="E18" s="291"/>
      <c r="F18" s="291"/>
      <c r="G18" s="292"/>
      <c r="H18" s="293"/>
      <c r="I18" s="291"/>
      <c r="J18" s="161"/>
      <c r="K18" s="161"/>
      <c r="L18" s="161"/>
      <c r="M18" s="162"/>
    </row>
    <row r="19" spans="1:13" ht="18.75" customHeight="1">
      <c r="A19" s="160"/>
      <c r="B19" s="161"/>
      <c r="C19" s="161"/>
      <c r="D19" s="161"/>
      <c r="E19" s="291"/>
      <c r="F19" s="291"/>
      <c r="G19" s="294"/>
      <c r="H19" s="295"/>
      <c r="I19" s="291"/>
      <c r="J19" s="161"/>
      <c r="K19" s="161"/>
      <c r="L19" s="161"/>
      <c r="M19" s="162"/>
    </row>
    <row r="20" spans="1:13" ht="18.75" customHeight="1">
      <c r="A20" s="160"/>
      <c r="B20" s="161"/>
      <c r="C20" s="161"/>
      <c r="D20" s="161"/>
      <c r="E20" s="291"/>
      <c r="F20" s="291"/>
      <c r="G20" s="292"/>
      <c r="H20" s="293"/>
      <c r="I20" s="291"/>
      <c r="J20" s="161"/>
      <c r="K20" s="161"/>
      <c r="L20" s="161"/>
      <c r="M20" s="162"/>
    </row>
    <row r="21" spans="1:13" ht="18.75" customHeight="1">
      <c r="A21" s="160"/>
      <c r="B21" s="161"/>
      <c r="C21" s="161"/>
      <c r="D21" s="161"/>
      <c r="E21" s="291"/>
      <c r="F21" s="291"/>
      <c r="G21" s="294"/>
      <c r="H21" s="295"/>
      <c r="I21" s="291"/>
      <c r="J21" s="161"/>
      <c r="K21" s="161"/>
      <c r="L21" s="161"/>
      <c r="M21" s="162"/>
    </row>
    <row r="22" spans="1:13" ht="18.75" customHeight="1">
      <c r="A22" s="160"/>
      <c r="B22" s="161"/>
      <c r="C22" s="161"/>
      <c r="D22" s="161"/>
      <c r="E22" s="291"/>
      <c r="F22" s="291"/>
      <c r="G22" s="292"/>
      <c r="H22" s="293"/>
      <c r="I22" s="291"/>
      <c r="J22" s="161"/>
      <c r="K22" s="161"/>
      <c r="L22" s="161"/>
      <c r="M22" s="162"/>
    </row>
    <row r="23" spans="1:13" ht="18.75" customHeight="1">
      <c r="A23" s="160"/>
      <c r="B23" s="161"/>
      <c r="C23" s="161"/>
      <c r="D23" s="161"/>
      <c r="E23" s="291"/>
      <c r="F23" s="291"/>
      <c r="G23" s="294"/>
      <c r="H23" s="295"/>
      <c r="I23" s="291"/>
      <c r="J23" s="161"/>
      <c r="K23" s="161"/>
      <c r="L23" s="161"/>
      <c r="M23" s="162"/>
    </row>
    <row r="24" spans="1:13" ht="14.25" customHeight="1">
      <c r="A24" s="160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2"/>
    </row>
    <row r="25" spans="1:13" ht="18.75" customHeight="1">
      <c r="A25" s="160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2"/>
    </row>
    <row r="26" spans="1:13" ht="18.75" customHeight="1">
      <c r="A26" s="160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2"/>
    </row>
    <row r="27" spans="1:13" ht="18.75" customHeight="1">
      <c r="A27" s="160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2"/>
    </row>
    <row r="28" spans="1:13" ht="18.75" customHeight="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2"/>
    </row>
    <row r="29" spans="1:13" ht="18.75" customHeight="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2"/>
    </row>
    <row r="30" spans="1:13" ht="18.75" customHeight="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2"/>
    </row>
    <row r="31" spans="1:13" ht="18.75" customHeight="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2"/>
    </row>
    <row r="32" spans="1:13" ht="18.75" customHeight="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2"/>
    </row>
    <row r="33" spans="1:13" ht="18.75" customHeight="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2"/>
    </row>
    <row r="34" spans="1:13" ht="18.75" customHeight="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2"/>
    </row>
    <row r="35" spans="1:13" ht="18.75" customHeight="1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2"/>
    </row>
    <row r="36" spans="1:13" ht="18.75" customHeight="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2"/>
    </row>
    <row r="37" spans="1:13" ht="18.75" customHeight="1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2"/>
    </row>
    <row r="38" spans="1:13" ht="18.75" customHeight="1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2"/>
    </row>
    <row r="39" spans="1:13" ht="18.75" customHeight="1">
      <c r="A39" s="160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2"/>
    </row>
    <row r="40" spans="1:13" ht="18.75" customHeight="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2"/>
    </row>
    <row r="41" spans="1:13" ht="18.75" customHeight="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2"/>
    </row>
    <row r="42" spans="1:13" ht="18.75" customHeight="1">
      <c r="A42" s="160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2"/>
    </row>
    <row r="43" spans="1:13" ht="18.75" customHeight="1">
      <c r="A43" s="160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2"/>
    </row>
    <row r="44" spans="1:13" ht="18.75" customHeight="1">
      <c r="A44" s="160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2"/>
    </row>
    <row r="45" spans="1:13" ht="18.75" customHeight="1">
      <c r="A45" s="160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2"/>
    </row>
    <row r="46" spans="1:13" ht="18.75" customHeight="1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2"/>
    </row>
    <row r="47" spans="1:13" ht="18.75" customHeight="1" thickBot="1">
      <c r="A47" s="160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2"/>
    </row>
    <row r="48" spans="1:13" ht="19.5" thickTop="1">
      <c r="A48" s="164" t="s">
        <v>180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</row>
    <row r="50" spans="1:1">
      <c r="A50" s="110"/>
    </row>
    <row r="51" spans="1:1" ht="21" customHeight="1"/>
    <row r="52" spans="1:1" ht="30.75" customHeight="1"/>
    <row r="114" ht="21" customHeight="1"/>
    <row r="115" ht="30.75" customHeight="1"/>
    <row r="177" ht="21" customHeight="1"/>
    <row r="178" ht="30.75" customHeight="1"/>
    <row r="179" ht="13.5" customHeight="1"/>
  </sheetData>
  <sheetProtection algorithmName="SHA-512" hashValue="OsoByGoqzvj1TuUOEsKmXrpEeEC7ku9Ii2P/cCXjQRSgtEF6FCHrVsqpyfl3mXC8Qft63pFzY5pT4M1NcV5Jvw==" saltValue="nej/ajSj/nGXL+hwJQ/aBQ==" spinCount="100000" sheet="1" objects="1" scenarios="1"/>
  <mergeCells count="24">
    <mergeCell ref="B2:C2"/>
    <mergeCell ref="E2:F2"/>
    <mergeCell ref="H2:I2"/>
    <mergeCell ref="B9:L10"/>
    <mergeCell ref="E11:F11"/>
    <mergeCell ref="G11:H11"/>
    <mergeCell ref="E12:F13"/>
    <mergeCell ref="G12:H13"/>
    <mergeCell ref="I12:I13"/>
    <mergeCell ref="E14:F15"/>
    <mergeCell ref="G14:H15"/>
    <mergeCell ref="I14:I15"/>
    <mergeCell ref="E16:F17"/>
    <mergeCell ref="G16:H17"/>
    <mergeCell ref="I16:I17"/>
    <mergeCell ref="E18:F19"/>
    <mergeCell ref="G18:H19"/>
    <mergeCell ref="I18:I19"/>
    <mergeCell ref="E20:F21"/>
    <mergeCell ref="G20:H21"/>
    <mergeCell ref="I20:I21"/>
    <mergeCell ref="E22:F23"/>
    <mergeCell ref="G22:H23"/>
    <mergeCell ref="I22:I23"/>
  </mergeCells>
  <phoneticPr fontId="1"/>
  <pageMargins left="0.23622047244094491" right="0.23622047244094491" top="0.15748031496062992" bottom="0.15748031496062992" header="0.31496062992125984" footer="0.31496062992125984"/>
  <pageSetup paperSize="9"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Sheet1!$A$1:$A$5</xm:f>
          </x14:formula1>
          <xm:sqref>B2:C2</xm:sqref>
        </x14:dataValidation>
        <x14:dataValidation type="list" allowBlank="1" showInputMessage="1" showErrorMessage="1">
          <x14:formula1>
            <xm:f>Sheet1!$B$1:$B$16</xm:f>
          </x14:formula1>
          <xm:sqref>E2:F2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zoomScaleNormal="100" workbookViewId="0">
      <selection activeCell="B2" sqref="B2:C2"/>
    </sheetView>
  </sheetViews>
  <sheetFormatPr defaultRowHeight="18.75"/>
  <cols>
    <col min="1" max="9" width="7.625" customWidth="1"/>
    <col min="12" max="12" width="3.25" customWidth="1"/>
  </cols>
  <sheetData>
    <row r="1" spans="1:13" ht="21" customHeight="1" thickBot="1">
      <c r="A1" s="147" t="s">
        <v>167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9"/>
    </row>
    <row r="2" spans="1:13" ht="30.75" customHeight="1" thickTop="1">
      <c r="A2" s="150" t="s">
        <v>168</v>
      </c>
      <c r="B2" s="301" t="s">
        <v>5</v>
      </c>
      <c r="C2" s="302"/>
      <c r="D2" s="151" t="s">
        <v>169</v>
      </c>
      <c r="E2" s="303" t="s">
        <v>16</v>
      </c>
      <c r="F2" s="304"/>
      <c r="G2" s="152" t="s">
        <v>4</v>
      </c>
      <c r="H2" s="305">
        <f>SUMIFS( 支出明細!E:E, 支出明細!D:D, E2, 支出明細!B:B, "&gt;=" &amp; DATEVALUE(K2 &amp; "/01"), 支出明細!B:B, "&lt;=" &amp; EOMONTH(DATEVALUE(M2 &amp; "/01"), 0) )</f>
        <v>24000</v>
      </c>
      <c r="I2" s="306"/>
      <c r="J2" s="153" t="s">
        <v>170</v>
      </c>
      <c r="K2" s="154" t="s">
        <v>171</v>
      </c>
      <c r="L2" s="155" t="s">
        <v>172</v>
      </c>
      <c r="M2" s="156" t="s">
        <v>173</v>
      </c>
    </row>
    <row r="3" spans="1:13" ht="13.5" customHeight="1">
      <c r="A3" s="157" t="s">
        <v>174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9"/>
    </row>
    <row r="4" spans="1:13" ht="18.75" customHeight="1">
      <c r="A4" s="160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165"/>
      <c r="M4" s="162"/>
    </row>
    <row r="5" spans="1:13" ht="18.75" customHeight="1">
      <c r="A5" s="160"/>
      <c r="B5" s="161"/>
      <c r="C5" s="161"/>
      <c r="D5" s="148"/>
      <c r="E5" s="166"/>
      <c r="F5" s="166"/>
      <c r="G5" s="166"/>
      <c r="H5" s="166"/>
      <c r="I5" s="165"/>
      <c r="J5" s="161"/>
      <c r="K5" s="161"/>
      <c r="L5" s="161"/>
      <c r="M5" s="162"/>
    </row>
    <row r="6" spans="1:13" ht="18.75" customHeight="1">
      <c r="A6" s="160"/>
      <c r="B6" s="161"/>
      <c r="C6" s="161"/>
      <c r="D6" s="161"/>
      <c r="E6" s="167"/>
      <c r="F6" s="167"/>
      <c r="G6" s="168"/>
      <c r="H6" s="167"/>
      <c r="I6" s="167"/>
      <c r="J6" s="161"/>
      <c r="K6" s="161"/>
      <c r="L6" s="161"/>
      <c r="M6" s="162"/>
    </row>
    <row r="7" spans="1:13" ht="18.75" customHeight="1">
      <c r="A7" s="160"/>
      <c r="B7" s="161"/>
      <c r="C7" s="161"/>
      <c r="D7" s="161"/>
      <c r="E7" s="167"/>
      <c r="F7" s="167"/>
      <c r="G7" s="167"/>
      <c r="H7" s="167"/>
      <c r="I7" s="167"/>
      <c r="J7" s="161"/>
      <c r="K7" s="161"/>
      <c r="L7" s="161"/>
      <c r="M7" s="162"/>
    </row>
    <row r="8" spans="1:13" ht="18.75" customHeight="1">
      <c r="A8" s="160"/>
      <c r="B8" s="161"/>
      <c r="C8" s="161"/>
      <c r="D8" s="161"/>
      <c r="E8" s="167"/>
      <c r="F8" s="167"/>
      <c r="G8" s="168"/>
      <c r="H8" s="167"/>
      <c r="I8" s="167"/>
      <c r="J8" s="161"/>
      <c r="K8" s="161"/>
      <c r="L8" s="161"/>
      <c r="M8" s="162"/>
    </row>
    <row r="9" spans="1:13" ht="18.75" customHeight="1">
      <c r="A9" s="160"/>
      <c r="B9" s="161"/>
      <c r="C9" s="161"/>
      <c r="D9" s="161"/>
      <c r="E9" s="167"/>
      <c r="F9" s="167"/>
      <c r="G9" s="167"/>
      <c r="H9" s="167"/>
      <c r="I9" s="167"/>
      <c r="J9" s="161"/>
      <c r="K9" s="161"/>
      <c r="L9" s="161"/>
      <c r="M9" s="162"/>
    </row>
    <row r="10" spans="1:13" ht="18.75" customHeight="1">
      <c r="A10" s="160"/>
      <c r="B10" s="161"/>
      <c r="C10" s="161"/>
      <c r="D10" s="161"/>
      <c r="E10" s="167"/>
      <c r="F10" s="167"/>
      <c r="G10" s="168"/>
      <c r="H10" s="167"/>
      <c r="I10" s="167"/>
      <c r="J10" s="161"/>
      <c r="K10" s="161"/>
      <c r="L10" s="161"/>
      <c r="M10" s="162"/>
    </row>
    <row r="11" spans="1:13" ht="18.75" customHeight="1">
      <c r="A11" s="160"/>
      <c r="B11" s="161"/>
      <c r="C11" s="161"/>
      <c r="D11" s="161"/>
      <c r="E11" s="167"/>
      <c r="F11" s="167"/>
      <c r="G11" s="167"/>
      <c r="H11" s="167"/>
      <c r="I11" s="167"/>
      <c r="J11" s="161"/>
      <c r="K11" s="161"/>
      <c r="L11" s="161"/>
      <c r="M11" s="162"/>
    </row>
    <row r="12" spans="1:13" ht="18.75" customHeight="1">
      <c r="A12" s="160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2"/>
    </row>
    <row r="13" spans="1:13" ht="18.75" customHeight="1">
      <c r="A13" s="160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2"/>
    </row>
    <row r="14" spans="1:13" ht="18.75" customHeight="1">
      <c r="A14" s="160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2"/>
    </row>
    <row r="15" spans="1:13" ht="18.75" customHeight="1">
      <c r="A15" s="160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2"/>
    </row>
    <row r="16" spans="1:13" ht="18.75" customHeight="1">
      <c r="A16" s="160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2"/>
    </row>
    <row r="17" spans="1:13" ht="18.75" customHeight="1">
      <c r="A17" s="160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2"/>
    </row>
    <row r="18" spans="1:13" ht="14.25" customHeight="1">
      <c r="A18" s="160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2"/>
    </row>
    <row r="19" spans="1:13" ht="18.75" customHeight="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2"/>
    </row>
    <row r="20" spans="1:13" ht="18.75" customHeight="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</row>
    <row r="21" spans="1:13" ht="18.75" customHeight="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2"/>
    </row>
    <row r="22" spans="1:13" ht="18.75" customHeight="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2"/>
    </row>
    <row r="23" spans="1:13" ht="18.75" customHeight="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2"/>
    </row>
    <row r="24" spans="1:13" ht="18.75" customHeight="1">
      <c r="A24" s="160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2"/>
    </row>
    <row r="25" spans="1:13" ht="18.75" customHeight="1">
      <c r="A25" s="160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2"/>
    </row>
    <row r="26" spans="1:13" ht="18.75" customHeight="1">
      <c r="A26" s="160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2"/>
    </row>
    <row r="27" spans="1:13" ht="18.75" customHeight="1">
      <c r="A27" s="160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2"/>
    </row>
    <row r="28" spans="1:13" ht="18.75" customHeight="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2"/>
    </row>
    <row r="29" spans="1:13" ht="18.75" customHeight="1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2"/>
    </row>
    <row r="30" spans="1:13" ht="18.75" customHeight="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2"/>
    </row>
    <row r="31" spans="1:13" ht="18.75" customHeight="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2"/>
    </row>
    <row r="32" spans="1:13" ht="18.75" customHeight="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2"/>
    </row>
    <row r="33" spans="1:13" ht="18.75" customHeight="1">
      <c r="A33" s="160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2"/>
    </row>
    <row r="34" spans="1:13" ht="18.75" customHeight="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2"/>
    </row>
    <row r="35" spans="1:13" ht="18.75" customHeight="1">
      <c r="A35" s="160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2"/>
    </row>
    <row r="36" spans="1:13" ht="18.75" customHeight="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2"/>
    </row>
    <row r="37" spans="1:13" ht="18.75" customHeight="1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2"/>
    </row>
    <row r="38" spans="1:13" ht="18.75" customHeight="1">
      <c r="A38" s="160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2"/>
    </row>
    <row r="39" spans="1:13" ht="18.75" customHeight="1">
      <c r="A39" s="160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2"/>
    </row>
    <row r="40" spans="1:13" ht="18.75" customHeight="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2"/>
    </row>
    <row r="41" spans="1:13" ht="18.75" customHeight="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2"/>
    </row>
    <row r="42" spans="1:13" ht="18.75" customHeight="1">
      <c r="A42" s="160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2"/>
    </row>
    <row r="43" spans="1:13" ht="18.75" customHeight="1">
      <c r="A43" s="160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2"/>
    </row>
    <row r="44" spans="1:13" ht="18.75" customHeight="1">
      <c r="A44" s="160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2"/>
    </row>
    <row r="45" spans="1:13" ht="18.75" customHeight="1">
      <c r="A45" s="160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2"/>
    </row>
    <row r="46" spans="1:13" ht="18.75" customHeight="1" thickBot="1">
      <c r="A46" s="160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2"/>
    </row>
    <row r="47" spans="1:13" ht="19.5" thickTop="1">
      <c r="A47" s="164" t="s">
        <v>180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</row>
    <row r="49" spans="1:1">
      <c r="A49" s="110"/>
    </row>
    <row r="50" spans="1:1" ht="21" customHeight="1"/>
    <row r="51" spans="1:1" ht="30.75" customHeight="1"/>
    <row r="113" ht="21" customHeight="1"/>
    <row r="114" ht="30.75" customHeight="1"/>
    <row r="176" ht="21" customHeight="1"/>
    <row r="177" ht="30.75" customHeight="1"/>
    <row r="178" ht="13.5" customHeight="1"/>
  </sheetData>
  <sheetProtection algorithmName="SHA-512" hashValue="lrruGtVDDrF8u1vYagcKiFqAmSsZzQa3oklWI0TtRGVHAvk5bfmJy8E0aneTydfGvLk2S18iJ04jwJR64rQWtA==" saltValue="bi8VBafw2XPvYdIoP/nrOA==" spinCount="100000" sheet="1" objects="1" scenarios="1"/>
  <mergeCells count="4">
    <mergeCell ref="B2:C2"/>
    <mergeCell ref="E2:F2"/>
    <mergeCell ref="H2:I2"/>
    <mergeCell ref="B4:K4"/>
  </mergeCells>
  <phoneticPr fontId="1"/>
  <pageMargins left="0.23622047244094491" right="0.23622047244094491" top="0.15748031496062992" bottom="0.15748031496062992" header="0.31496062992125984" footer="0.31496062992125984"/>
  <pageSetup paperSize="9"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Sheet1!$A$1:$A$5</xm:f>
          </x14:formula1>
          <xm:sqref>B2:C2</xm:sqref>
        </x14:dataValidation>
        <x14:dataValidation type="list" allowBlank="1" showInputMessage="1" showErrorMessage="1">
          <x14:formula1>
            <xm:f>Sheet1!$B$1:$B$16</xm:f>
          </x14:formula1>
          <xm:sqref>E2:F2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16" sqref="E16"/>
    </sheetView>
  </sheetViews>
  <sheetFormatPr defaultRowHeight="18.75"/>
  <cols>
    <col min="1" max="1" width="13" bestFit="1" customWidth="1"/>
  </cols>
  <sheetData>
    <row r="1" spans="1:2">
      <c r="A1" s="3" t="s">
        <v>5</v>
      </c>
      <c r="B1" s="2" t="s">
        <v>10</v>
      </c>
    </row>
    <row r="2" spans="1:2">
      <c r="A2" s="3" t="s">
        <v>6</v>
      </c>
      <c r="B2" s="2" t="s">
        <v>9</v>
      </c>
    </row>
    <row r="3" spans="1:2">
      <c r="A3" s="3" t="s">
        <v>7</v>
      </c>
      <c r="B3" s="2" t="s">
        <v>11</v>
      </c>
    </row>
    <row r="4" spans="1:2">
      <c r="A4" s="3" t="s">
        <v>8</v>
      </c>
      <c r="B4" s="2" t="s">
        <v>12</v>
      </c>
    </row>
    <row r="5" spans="1:2">
      <c r="B5" s="2" t="s">
        <v>13</v>
      </c>
    </row>
    <row r="6" spans="1:2">
      <c r="B6" s="2" t="s">
        <v>14</v>
      </c>
    </row>
    <row r="7" spans="1:2">
      <c r="B7" s="2" t="s">
        <v>15</v>
      </c>
    </row>
    <row r="8" spans="1:2">
      <c r="B8" s="2" t="s">
        <v>16</v>
      </c>
    </row>
    <row r="9" spans="1:2">
      <c r="B9" s="2" t="s">
        <v>17</v>
      </c>
    </row>
    <row r="10" spans="1:2">
      <c r="B10" s="2" t="s">
        <v>18</v>
      </c>
    </row>
    <row r="11" spans="1:2">
      <c r="B11" s="2" t="s">
        <v>19</v>
      </c>
    </row>
    <row r="12" spans="1:2">
      <c r="B12" s="2" t="s">
        <v>20</v>
      </c>
    </row>
    <row r="13" spans="1:2">
      <c r="B13" s="2" t="s">
        <v>21</v>
      </c>
    </row>
    <row r="14" spans="1:2">
      <c r="B14" s="2" t="s">
        <v>22</v>
      </c>
    </row>
    <row r="15" spans="1:2">
      <c r="B15" s="5" t="s">
        <v>23</v>
      </c>
    </row>
  </sheetData>
  <sheetProtection algorithmName="SHA-512" hashValue="6vnD1XAfVCsn5fAr4/lzEzZUmZnHAFWCMU5jRSreay92OWGfZNAJ1DxBwtkvaQuDy8NZpYMxzL6e1KW9UoPthA==" saltValue="dt4T5OD1w+OPuik3DOXk3g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利用者名簿</vt:lpstr>
      <vt:lpstr>支出合計</vt:lpstr>
      <vt:lpstr>支出明細</vt:lpstr>
      <vt:lpstr>収支決算書</vt:lpstr>
      <vt:lpstr>事業報告書（4月～9月）</vt:lpstr>
      <vt:lpstr>事業報告書（10月～3月）</vt:lpstr>
      <vt:lpstr>領収書貼付台紙（領収書なし）</vt:lpstr>
      <vt:lpstr>領収書貼付台紙（領収書あり）</vt:lpstr>
      <vt:lpstr>Sheet1</vt:lpstr>
      <vt:lpstr>'事業報告書（10月～3月）'!Print_Area</vt:lpstr>
      <vt:lpstr>'事業報告書（4月～9月）'!Print_Area</vt:lpstr>
      <vt:lpstr>'領収書貼付台紙（領収書あり）'!Print_Area</vt:lpstr>
      <vt:lpstr>'領収書貼付台紙（領収書なし）'!Print_Area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koreird43</dc:creator>
  <cp:lastModifiedBy>澤邉 満</cp:lastModifiedBy>
  <cp:lastPrinted>2025-10-29T05:18:19Z</cp:lastPrinted>
  <dcterms:created xsi:type="dcterms:W3CDTF">2025-09-30T09:01:20Z</dcterms:created>
  <dcterms:modified xsi:type="dcterms:W3CDTF">2026-04-21T01:55:43Z</dcterms:modified>
</cp:coreProperties>
</file>