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収支内訳書\"/>
    </mc:Choice>
  </mc:AlternateContent>
  <xr:revisionPtr revIDLastSave="0" documentId="13_ncr:1_{B68C6B7D-4543-46AF-AC56-54B2BCFFEA53}" xr6:coauthVersionLast="47" xr6:coauthVersionMax="47" xr10:uidLastSave="{00000000-0000-0000-0000-000000000000}"/>
  <workbookProtection workbookAlgorithmName="SHA-512" workbookHashValue="Pux798JF0fEjUNCPwxFZbhJeHAp0Xxt/eskKEEU6JUGMGhqzH5XwDMOglhj2D1GZd7PktMf9iAoHDyUHmKvdkQ==" workbookSaltValue="GHoiI7w8L+1/a6ZYjiYCKQ==" workbookSpinCount="100000" lockStructure="1"/>
  <bookViews>
    <workbookView xWindow="-120" yWindow="-120" windowWidth="20730" windowHeight="11040" xr2:uid="{37DB83D0-31AF-426E-AA48-75DA5238C7A7}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'領収書貼付台紙（領収書あり）'!$A$1:$M$48</definedName>
    <definedName name="_xlnm.Print_Area" localSheetId="6">'領収書貼付台紙（領収書なし）'!$A$1:$M$51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2" l="1"/>
  <c r="H2" i="11"/>
  <c r="K21" i="4"/>
  <c r="H21" i="4"/>
  <c r="B21" i="4"/>
  <c r="K22" i="4"/>
  <c r="H22" i="4"/>
  <c r="E22" i="4"/>
  <c r="B22" i="4"/>
  <c r="K25" i="4"/>
  <c r="H25" i="4"/>
  <c r="E25" i="4"/>
  <c r="B25" i="4"/>
  <c r="K24" i="4"/>
  <c r="H24" i="4"/>
  <c r="E24" i="4"/>
  <c r="B24" i="4"/>
  <c r="K23" i="4"/>
  <c r="H23" i="4"/>
  <c r="E23" i="4"/>
  <c r="B23" i="4"/>
  <c r="E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K14" i="4"/>
  <c r="H14" i="4"/>
  <c r="E14" i="4"/>
  <c r="B14" i="4"/>
  <c r="C13" i="6"/>
  <c r="AY9" i="10" l="1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Y9" i="7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K29" i="4"/>
  <c r="C27" i="6" s="1"/>
  <c r="K30" i="4"/>
  <c r="C28" i="6" s="1"/>
  <c r="K31" i="4"/>
  <c r="C29" i="6" s="1"/>
  <c r="K32" i="4"/>
  <c r="C30" i="6" s="1"/>
  <c r="B36" i="4"/>
  <c r="C20" i="6" s="1"/>
  <c r="B35" i="4"/>
  <c r="C19" i="6" s="1"/>
  <c r="B34" i="4"/>
  <c r="C18" i="6" s="1"/>
  <c r="B37" i="4"/>
  <c r="C21" i="6" s="1"/>
  <c r="B31" i="4"/>
  <c r="C15" i="6" s="1"/>
  <c r="AN25" i="10"/>
  <c r="AN23" i="10"/>
  <c r="AN21" i="10"/>
  <c r="AN19" i="10"/>
  <c r="AN17" i="10"/>
  <c r="AN15" i="10"/>
  <c r="AN13" i="10"/>
  <c r="AN11" i="10"/>
  <c r="AN9" i="10"/>
  <c r="AD2" i="10"/>
  <c r="AN25" i="7"/>
  <c r="AN23" i="7"/>
  <c r="AN21" i="7"/>
  <c r="AN19" i="7"/>
  <c r="AN15" i="7"/>
  <c r="AN11" i="7"/>
  <c r="AD2" i="7"/>
  <c r="AN13" i="7"/>
  <c r="E1" i="3"/>
  <c r="H37" i="4"/>
  <c r="D34" i="6"/>
  <c r="B29" i="4"/>
  <c r="D3" i="1"/>
  <c r="AN7" i="10" s="1"/>
  <c r="H29" i="4"/>
  <c r="C23" i="6" s="1"/>
  <c r="H33" i="4"/>
  <c r="H32" i="4"/>
  <c r="H31" i="4"/>
  <c r="C25" i="6" s="1"/>
  <c r="H30" i="4"/>
  <c r="C24" i="6" s="1"/>
  <c r="B33" i="4"/>
  <c r="C17" i="6" s="1"/>
  <c r="B32" i="4"/>
  <c r="C16" i="6" s="1"/>
  <c r="B30" i="4"/>
  <c r="C14" i="6" s="1"/>
  <c r="D4" i="1"/>
  <c r="AN9" i="7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N7" i="7" l="1"/>
  <c r="AZ17" i="10"/>
  <c r="AR11" i="7"/>
  <c r="AT13" i="7"/>
  <c r="AX21" i="7"/>
  <c r="AX17" i="10"/>
  <c r="AZ19" i="10"/>
  <c r="AT17" i="10"/>
  <c r="AZ7" i="10"/>
  <c r="AV19" i="10"/>
  <c r="AX21" i="10"/>
  <c r="AZ23" i="10"/>
  <c r="AV17" i="10"/>
  <c r="AX19" i="10"/>
  <c r="AZ21" i="10"/>
  <c r="AP13" i="10"/>
  <c r="AR15" i="10"/>
  <c r="AR13" i="10"/>
  <c r="AT15" i="10"/>
  <c r="AT13" i="10"/>
  <c r="AV15" i="10"/>
  <c r="AV13" i="10"/>
  <c r="AX15" i="10"/>
  <c r="AX13" i="10"/>
  <c r="AZ15" i="10"/>
  <c r="AP9" i="10"/>
  <c r="AR11" i="10"/>
  <c r="AP25" i="10"/>
  <c r="AP7" i="10"/>
  <c r="AT11" i="10"/>
  <c r="AP23" i="10"/>
  <c r="AR25" i="10"/>
  <c r="AR7" i="10"/>
  <c r="AT9" i="10"/>
  <c r="AV11" i="10"/>
  <c r="AT25" i="10"/>
  <c r="AT7" i="10"/>
  <c r="AV9" i="10"/>
  <c r="AX11" i="10"/>
  <c r="AZ13" i="10"/>
  <c r="AP19" i="10"/>
  <c r="AR21" i="10"/>
  <c r="AT23" i="10"/>
  <c r="AV25" i="10"/>
  <c r="AR9" i="10"/>
  <c r="AP21" i="10"/>
  <c r="AV7" i="10"/>
  <c r="AX9" i="10"/>
  <c r="AZ11" i="10"/>
  <c r="AP17" i="10"/>
  <c r="AR19" i="10"/>
  <c r="AT21" i="10"/>
  <c r="AV23" i="10"/>
  <c r="AX25" i="10"/>
  <c r="AP11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X7" i="7"/>
  <c r="AP7" i="7"/>
  <c r="AR7" i="7"/>
  <c r="AT7" i="7"/>
  <c r="AV7" i="7"/>
  <c r="AZ7" i="7"/>
  <c r="AP11" i="7"/>
  <c r="D23" i="1"/>
  <c r="C26" i="6"/>
  <c r="K26" i="4"/>
  <c r="K8" i="4" s="1"/>
  <c r="E26" i="4"/>
  <c r="E8" i="4" s="1"/>
  <c r="H26" i="4"/>
  <c r="H8" i="4" s="1"/>
  <c r="B26" i="4" l="1"/>
  <c r="AV27" i="10"/>
  <c r="G21" i="1" s="1"/>
  <c r="H21" i="1" s="1"/>
  <c r="AZ27" i="10"/>
  <c r="G23" i="1" s="1"/>
  <c r="H23" i="1" s="1"/>
  <c r="AX27" i="10"/>
  <c r="G22" i="1" s="1"/>
  <c r="H22" i="1" s="1"/>
  <c r="AT27" i="10"/>
  <c r="G20" i="1" s="1"/>
  <c r="H20" i="1" s="1"/>
  <c r="AP27" i="10"/>
  <c r="G18" i="1" s="1"/>
  <c r="H18" i="1" s="1"/>
  <c r="AR27" i="10"/>
  <c r="G19" i="1" s="1"/>
  <c r="H19" i="1" s="1"/>
  <c r="AX17" i="7"/>
  <c r="AX27" i="7" s="1"/>
  <c r="G16" i="1" s="1"/>
  <c r="H16" i="1" s="1"/>
  <c r="AT17" i="7"/>
  <c r="AT27" i="7" s="1"/>
  <c r="G14" i="1" s="1"/>
  <c r="H14" i="1" s="1"/>
  <c r="AV17" i="7"/>
  <c r="AV27" i="7" s="1"/>
  <c r="G15" i="1" s="1"/>
  <c r="H15" i="1" s="1"/>
  <c r="AP17" i="7"/>
  <c r="AP27" i="7" s="1"/>
  <c r="G12" i="1" s="1"/>
  <c r="AR17" i="7"/>
  <c r="AR27" i="7" s="1"/>
  <c r="G13" i="1" s="1"/>
  <c r="H13" i="1" s="1"/>
  <c r="AZ27" i="7"/>
  <c r="G17" i="1" s="1"/>
  <c r="H17" i="1" s="1"/>
  <c r="C22" i="6"/>
  <c r="C31" i="6" s="1"/>
  <c r="H12" i="1" l="1"/>
  <c r="H24" i="1" s="1"/>
  <c r="B8" i="4" s="1"/>
  <c r="E4" i="4" l="1"/>
  <c r="C6" i="6" s="1"/>
  <c r="C9" i="6" s="1"/>
</calcChain>
</file>

<file path=xl/sharedStrings.xml><?xml version="1.0" encoding="utf-8"?>
<sst xmlns="http://schemas.openxmlformats.org/spreadsheetml/2006/main" count="928" uniqueCount="204">
  <si>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</si>
  <si>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</si>
  <si>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</si>
  <si>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</si>
  <si>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</si>
  <si>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</si>
  <si>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</si>
  <si>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</si>
  <si>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</si>
  <si>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</si>
  <si>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</si>
  <si>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</si>
  <si>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</si>
  <si>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</si>
  <si>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</si>
  <si>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</si>
  <si>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</si>
  <si>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</si>
  <si>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</si>
  <si>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</si>
  <si>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</si>
  <si>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</si>
  <si>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</si>
  <si>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</si>
  <si>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</si>
  <si>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</si>
  <si>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</si>
  <si>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</si>
  <si>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５～９人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</si>
  <si>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</si>
  <si>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</si>
  <si>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</si>
  <si>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</si>
  <si>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</si>
  <si>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</si>
  <si>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</si>
  <si>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</si>
  <si>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</si>
  <si>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</si>
  <si>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</si>
  <si>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</si>
  <si>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</si>
  <si>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</si>
  <si>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</si>
  <si>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</si>
  <si>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</si>
  <si>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</si>
  <si>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</si>
  <si>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</si>
  <si>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</si>
  <si>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</si>
  <si>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</si>
  <si>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</si>
  <si>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</si>
  <si>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</si>
  <si>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</si>
  <si>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</si>
  <si>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</si>
  <si>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</si>
  <si>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</si>
  <si>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</si>
  <si>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</si>
  <si>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</si>
  <si>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</si>
  <si>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</si>
  <si>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</si>
  <si>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</si>
  <si>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</si>
  <si>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</si>
  <si>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</si>
  <si>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</si>
  <si>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</si>
  <si>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</si>
  <si>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</si>
  <si>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</si>
  <si>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</si>
  <si>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</si>
  <si>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</si>
  <si>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</si>
  <si>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</si>
  <si>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</si>
  <si>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</si>
  <si>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</si>
  <si>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</si>
  <si>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</si>
  <si>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</si>
  <si>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</si>
  <si>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</si>
  <si>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</si>
  <si>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</si>
  <si>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</si>
  <si>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</si>
  <si>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</si>
  <si>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</si>
  <si>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</si>
  <si>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</si>
  <si>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</si>
  <si>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</si>
  <si>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</si>
  <si>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</si>
  <si>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</si>
  <si>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</si>
  <si>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</si>
  <si>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</si>
  <si>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</si>
  <si>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r>
      <rPr>
        <sz val="12"/>
        <color rgb="FFFF0000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</si>
  <si>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</si>
  <si>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</si>
  <si>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</si>
  <si>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</si>
  <si>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</si>
  <si>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</si>
  <si>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</si>
  <si>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</si>
  <si>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</si>
  <si>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</si>
  <si>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</si>
  <si>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</si>
  <si>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</si>
  <si>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</si>
  <si>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</si>
  <si>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</si>
  <si>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</si>
  <si>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</si>
  <si>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</si>
  <si>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</si>
  <si>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２～４人</t>
    <phoneticPr fontId="1"/>
  </si>
  <si>
    <t>１０～１９人</t>
    <phoneticPr fontId="1"/>
  </si>
  <si>
    <t>２０人以上</t>
    <phoneticPr fontId="1"/>
  </si>
  <si>
    <t>月額１０，０００円</t>
    <phoneticPr fontId="1"/>
  </si>
  <si>
    <t>月額２３，０００円</t>
    <phoneticPr fontId="1"/>
  </si>
  <si>
    <t>月額４８，０００円</t>
    <phoneticPr fontId="1"/>
  </si>
  <si>
    <t>月額６３，０００円</t>
    <phoneticPr fontId="1"/>
  </si>
  <si>
    <t>運営費(水道光熱費）</t>
    <rPh sb="0" eb="3">
      <t>ウンエイヒ</t>
    </rPh>
    <rPh sb="4" eb="6">
      <t>スイドウ</t>
    </rPh>
    <rPh sb="6" eb="9">
      <t>コウネツヒ</t>
    </rPh>
    <phoneticPr fontId="1"/>
  </si>
  <si>
    <t>運営費(研修受講料）</t>
    <rPh sb="0" eb="3">
      <t>ウンエイヒ</t>
    </rPh>
    <rPh sb="4" eb="6">
      <t>ケンシュウ</t>
    </rPh>
    <rPh sb="6" eb="9">
      <t>ジュコウリョウ</t>
    </rPh>
    <phoneticPr fontId="1"/>
  </si>
  <si>
    <t>運営費(賃借料）</t>
    <rPh sb="0" eb="3">
      <t>ウンエイヒ</t>
    </rPh>
    <phoneticPr fontId="1"/>
  </si>
  <si>
    <t>設立・更新費(施設修繕費）</t>
    <rPh sb="0" eb="2">
      <t>セツリツ</t>
    </rPh>
    <rPh sb="3" eb="6">
      <t>コウシンヒ</t>
    </rPh>
    <phoneticPr fontId="1"/>
  </si>
  <si>
    <t>施設修繕費</t>
    <rPh sb="0" eb="5">
      <t>シセツシュウゼンヒ</t>
    </rPh>
    <phoneticPr fontId="1"/>
  </si>
  <si>
    <t>〇通所型住民主体サービス（支出合計）</t>
    <rPh sb="1" eb="3">
      <t>ツウショ</t>
    </rPh>
    <rPh sb="3" eb="4">
      <t>ガタ</t>
    </rPh>
    <rPh sb="4" eb="6">
      <t>ジュウミン</t>
    </rPh>
    <rPh sb="6" eb="8">
      <t>シュタイ</t>
    </rPh>
    <rPh sb="13" eb="17">
      <t>シシュツゴウケイ</t>
    </rPh>
    <phoneticPr fontId="1"/>
  </si>
  <si>
    <t>○通所型住民主体サービス（支出明細）</t>
    <rPh sb="1" eb="3">
      <t>ツウショ</t>
    </rPh>
    <rPh sb="3" eb="4">
      <t>ガタ</t>
    </rPh>
    <rPh sb="4" eb="6">
      <t>ジュウミン</t>
    </rPh>
    <rPh sb="6" eb="8">
      <t>シュタイ</t>
    </rPh>
    <rPh sb="13" eb="15">
      <t>シシュツ</t>
    </rPh>
    <rPh sb="15" eb="17">
      <t>メイサイ</t>
    </rPh>
    <phoneticPr fontId="1"/>
  </si>
  <si>
    <t>事業報告書（□訪問型住民主体サービス 　■通所型住民主体サービス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</si>
  <si>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A</t>
  </si>
  <si>
    <t>B</t>
  </si>
  <si>
    <t>事業対象者</t>
  </si>
  <si>
    <t>C</t>
  </si>
  <si>
    <t>D</t>
  </si>
  <si>
    <t>要支援2</t>
  </si>
  <si>
    <t>E</t>
  </si>
  <si>
    <t>F</t>
  </si>
  <si>
    <t>-</t>
  </si>
  <si>
    <t>G</t>
  </si>
  <si>
    <r>
      <t>（</t>
    </r>
    <r>
      <rPr>
        <b/>
        <sz val="11"/>
        <color rgb="FFFF0000"/>
        <rFont val="ＭＳ 明朝"/>
        <family val="1"/>
        <charset val="128"/>
      </rPr>
      <t>１２３４５６７８００</t>
    </r>
    <r>
      <rPr>
        <sz val="11"/>
        <rFont val="ＭＳ 明朝"/>
        <family val="1"/>
        <charset val="128"/>
      </rPr>
      <t>）</t>
    </r>
    <phoneticPr fontId="1"/>
  </si>
  <si>
    <t>B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</si>
  <si>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２３４５６７８９００</t>
    </r>
    <r>
      <rPr>
        <sz val="11"/>
        <rFont val="ＭＳ 明朝"/>
        <family val="1"/>
        <charset val="128"/>
      </rPr>
      <t>）</t>
    </r>
    <phoneticPr fontId="1"/>
  </si>
  <si>
    <t>C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</si>
  <si>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３４５６７８９０００</t>
    </r>
    <r>
      <rPr>
        <sz val="11"/>
        <rFont val="ＭＳ 明朝"/>
        <family val="1"/>
        <charset val="128"/>
      </rPr>
      <t>）</t>
    </r>
    <phoneticPr fontId="1"/>
  </si>
  <si>
    <t>D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</si>
  <si>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４５６７８９０１２３</t>
    </r>
    <r>
      <rPr>
        <sz val="11"/>
        <rFont val="ＭＳ 明朝"/>
        <family val="1"/>
        <charset val="128"/>
      </rPr>
      <t>）</t>
    </r>
    <phoneticPr fontId="1"/>
  </si>
  <si>
    <t>E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</si>
  <si>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５６７８９０１２００</t>
    </r>
    <r>
      <rPr>
        <sz val="11"/>
        <rFont val="ＭＳ 明朝"/>
        <family val="1"/>
        <charset val="128"/>
      </rPr>
      <t>）</t>
    </r>
    <phoneticPr fontId="1"/>
  </si>
  <si>
    <t>F</t>
    <phoneticPr fontId="1"/>
  </si>
  <si>
    <t>G</t>
    <phoneticPr fontId="1"/>
  </si>
  <si>
    <t>木</t>
    <rPh sb="0" eb="1">
      <t>モク</t>
    </rPh>
    <phoneticPr fontId="1"/>
  </si>
  <si>
    <t>木</t>
  </si>
  <si>
    <t>○</t>
    <phoneticPr fontId="1"/>
  </si>
  <si>
    <t>○</t>
  </si>
  <si>
    <r>
      <rPr>
        <sz val="12"/>
        <color rgb="FFFF0000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</si>
  <si>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天草市住民主体サービス補助金　</t>
    <rPh sb="0" eb="3">
      <t>アマクサシ</t>
    </rPh>
    <rPh sb="3" eb="7">
      <t>ジュウミンシュタイ</t>
    </rPh>
    <phoneticPr fontId="5"/>
  </si>
  <si>
    <t>●●●会</t>
    <rPh sb="3" eb="4">
      <t>カイ</t>
    </rPh>
    <phoneticPr fontId="1"/>
  </si>
  <si>
    <t>2,000円×3人×12月</t>
    <rPh sb="1" eb="6">
      <t>000エン</t>
    </rPh>
    <rPh sb="8" eb="9">
      <t>ニン</t>
    </rPh>
    <rPh sb="12" eb="13">
      <t>ツキ</t>
    </rPh>
    <phoneticPr fontId="4"/>
  </si>
  <si>
    <t>調整用携帯通信費</t>
    <rPh sb="0" eb="3">
      <t>チョウセイヨウ</t>
    </rPh>
    <rPh sb="3" eb="8">
      <t>ケイタイツウシンヒ</t>
    </rPh>
    <phoneticPr fontId="4"/>
  </si>
  <si>
    <t>ボランティア保険　500円（3人）×48回</t>
    <rPh sb="6" eb="8">
      <t>ホケン</t>
    </rPh>
    <rPh sb="12" eb="13">
      <t>エン</t>
    </rPh>
    <rPh sb="15" eb="16">
      <t>ニン</t>
    </rPh>
    <phoneticPr fontId="4"/>
  </si>
  <si>
    <t>用紙、筆記用具、手袋、消毒薬、マスク</t>
    <rPh sb="0" eb="2">
      <t>ヨウシ</t>
    </rPh>
    <rPh sb="3" eb="7">
      <t>ヒッキヨウグ</t>
    </rPh>
    <phoneticPr fontId="4"/>
  </si>
  <si>
    <t>施設使用料　1回2,100×48回</t>
    <rPh sb="0" eb="5">
      <t>シセツシヨウリョウ</t>
    </rPh>
    <rPh sb="7" eb="8">
      <t>カイ</t>
    </rPh>
    <rPh sb="16" eb="17">
      <t>カイ</t>
    </rPh>
    <phoneticPr fontId="4"/>
  </si>
  <si>
    <t>特定研修受講料　3人</t>
    <rPh sb="0" eb="7">
      <t>トクテイケンシュウジュコウリョウ</t>
    </rPh>
    <rPh sb="9" eb="10">
      <t>ニン</t>
    </rPh>
    <phoneticPr fontId="4"/>
  </si>
  <si>
    <t>施設から借用　500円×48回</t>
    <rPh sb="0" eb="2">
      <t>シセツ</t>
    </rPh>
    <rPh sb="4" eb="6">
      <t>シャクヨウ</t>
    </rPh>
    <rPh sb="10" eb="11">
      <t>エン</t>
    </rPh>
    <rPh sb="14" eb="15">
      <t>カイ</t>
    </rPh>
    <phoneticPr fontId="4"/>
  </si>
  <si>
    <t>364円×48回</t>
    <rPh sb="3" eb="4">
      <t>エン</t>
    </rPh>
    <rPh sb="7" eb="8">
      <t>カイ</t>
    </rPh>
    <phoneticPr fontId="4"/>
  </si>
  <si>
    <t>修理費</t>
    <rPh sb="0" eb="3">
      <t>シュウリヒ</t>
    </rPh>
    <phoneticPr fontId="4"/>
  </si>
  <si>
    <t>携帯購入費</t>
    <rPh sb="0" eb="5">
      <t>ケイタイコウニュウヒ</t>
    </rPh>
    <phoneticPr fontId="4"/>
  </si>
  <si>
    <t>利用料</t>
    <rPh sb="0" eb="3">
      <t>リヨウリョウ</t>
    </rPh>
    <phoneticPr fontId="1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</si>
  <si>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</si>
  <si>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</si>
  <si>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</si>
  <si>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 xml:space="preserve">
</t>
    <phoneticPr fontId="15"/>
  </si>
  <si>
    <t>※各領収書の宛名，金額等がきちんと見えるように貼り付けてください。</t>
    <rPh sb="11" eb="12">
      <t>トウ</t>
    </rPh>
    <phoneticPr fontId="15"/>
  </si>
  <si>
    <t>2025/4</t>
    <phoneticPr fontId="1"/>
  </si>
  <si>
    <t>受領印</t>
    <rPh sb="0" eb="3">
      <t>ジュリョウイン</t>
    </rPh>
    <phoneticPr fontId="1"/>
  </si>
  <si>
    <t>氏名</t>
    <rPh sb="0" eb="2">
      <t>シメイ</t>
    </rPh>
    <phoneticPr fontId="1"/>
  </si>
  <si>
    <t>天草　太郎</t>
    <rPh sb="0" eb="2">
      <t>アマクサ</t>
    </rPh>
    <rPh sb="3" eb="5">
      <t>タロウ</t>
    </rPh>
    <phoneticPr fontId="1"/>
  </si>
  <si>
    <t>印</t>
    <rPh sb="0" eb="1">
      <t>イン</t>
    </rPh>
    <phoneticPr fontId="1"/>
  </si>
  <si>
    <t>～</t>
    <phoneticPr fontId="1"/>
  </si>
  <si>
    <t>2026/3</t>
    <phoneticPr fontId="1"/>
  </si>
  <si>
    <t>天草　花子</t>
    <rPh sb="0" eb="2">
      <t>アマクサ</t>
    </rPh>
    <rPh sb="3" eb="5">
      <t>ハナコ</t>
    </rPh>
    <phoneticPr fontId="1"/>
  </si>
  <si>
    <t>天草　次郎</t>
    <rPh sb="0" eb="2">
      <t>アマクサ</t>
    </rPh>
    <rPh sb="3" eb="5">
      <t>ジロウ</t>
    </rPh>
    <phoneticPr fontId="1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</si>
  <si>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</si>
  <si>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</si>
  <si>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</si>
  <si>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</si>
  <si>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A</t>
    <phoneticPr fontId="1"/>
  </si>
  <si>
    <t>.4</t>
    <phoneticPr fontId="1"/>
  </si>
  <si>
    <t>.3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</si>
  <si>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</si>
  <si>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</si>
  <si>
    <r>
      <t>令和　</t>
    </r>
    <r>
      <rPr>
        <sz val="12"/>
        <color rgb="FFFF0000"/>
        <rFont val="ＭＳ 明朝"/>
        <family val="1"/>
        <charset val="128"/>
      </rPr>
      <t>7</t>
    </r>
    <r>
      <rPr>
        <sz val="12"/>
        <rFont val="ＭＳ 明朝"/>
        <family val="1"/>
        <charset val="128"/>
      </rPr>
      <t>　年度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</si>
</sst>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"/>
    <numFmt numFmtId="178" formatCode="[$-411]ge\.m\.d;@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176" fontId="12" fillId="0" borderId="18" xfId="1" applyNumberFormat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5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177" fontId="0" fillId="4" borderId="1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0" borderId="1" xfId="1" applyNumberFormat="1" applyFont="1" applyFill="1" applyBorder="1" applyAlignment="1" applyProtection="1">
      <alignment vertical="center"/>
    </xf>
    <xf numFmtId="38" fontId="12" fillId="2" borderId="12" xfId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0" borderId="12" xfId="1" applyFont="1" applyFill="1" applyBorder="1" applyAlignment="1" applyProtection="1">
      <alignment vertical="center" wrapText="1"/>
    </xf>
    <xf numFmtId="38" fontId="12" fillId="0" borderId="4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9" fillId="0" borderId="4" xfId="0" applyFont="1" applyBorder="1" applyAlignment="1"/>
    <xf numFmtId="0" fontId="21" fillId="0" borderId="0" xfId="0" applyFont="1" applyFill="1">
      <alignment vertical="center"/>
    </xf>
    <xf numFmtId="0" fontId="35" fillId="4" borderId="1" xfId="0" applyFont="1" applyFill="1" applyBorder="1" applyAlignment="1" applyProtection="1">
      <alignment horizontal="center" vertical="center"/>
      <protection locked="0"/>
    </xf>
    <xf numFmtId="0" fontId="35" fillId="4" borderId="1" xfId="0" applyFont="1" applyFill="1" applyBorder="1" applyProtection="1">
      <alignment vertical="center"/>
      <protection locked="0"/>
    </xf>
    <xf numFmtId="178" fontId="36" fillId="4" borderId="1" xfId="0" applyNumberFormat="1" applyFont="1" applyFill="1" applyBorder="1" applyAlignment="1">
      <alignment horizontal="center" vertical="center"/>
    </xf>
    <xf numFmtId="56" fontId="36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shrinkToFit="1"/>
    </xf>
    <xf numFmtId="177" fontId="37" fillId="4" borderId="1" xfId="0" applyNumberFormat="1" applyFont="1" applyFill="1" applyBorder="1" applyAlignment="1">
      <alignment horizontal="right" vertical="center"/>
    </xf>
    <xf numFmtId="177" fontId="37" fillId="4" borderId="1" xfId="0" applyNumberFormat="1" applyFont="1" applyFill="1" applyBorder="1">
      <alignment vertical="center"/>
    </xf>
    <xf numFmtId="0" fontId="37" fillId="4" borderId="1" xfId="0" applyFont="1" applyFill="1" applyBorder="1" applyAlignment="1" applyProtection="1">
      <alignment horizontal="center" vertical="center"/>
      <protection locked="0"/>
    </xf>
    <xf numFmtId="0" fontId="38" fillId="4" borderId="2" xfId="0" applyFont="1" applyFill="1" applyBorder="1" applyAlignment="1">
      <alignment horizontal="center" vertical="center"/>
    </xf>
    <xf numFmtId="49" fontId="18" fillId="4" borderId="38" xfId="0" applyNumberFormat="1" applyFont="1" applyFill="1" applyBorder="1" applyAlignment="1">
      <alignment horizontal="distributed" vertical="center"/>
    </xf>
    <xf numFmtId="0" fontId="38" fillId="4" borderId="9" xfId="0" applyFont="1" applyFill="1" applyBorder="1" applyAlignment="1">
      <alignment horizontal="distributed" vertical="center"/>
    </xf>
    <xf numFmtId="0" fontId="31" fillId="4" borderId="9" xfId="0" applyFont="1" applyFill="1" applyBorder="1" applyAlignment="1">
      <alignment horizontal="distributed" vertical="center"/>
    </xf>
    <xf numFmtId="49" fontId="18" fillId="4" borderId="25" xfId="0" applyNumberFormat="1" applyFont="1" applyFill="1" applyBorder="1" applyAlignment="1">
      <alignment horizontal="distributed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28" fillId="4" borderId="29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distributed" vertical="center"/>
    </xf>
    <xf numFmtId="0" fontId="33" fillId="4" borderId="22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0" fontId="36" fillId="6" borderId="5" xfId="0" applyFont="1" applyFill="1" applyBorder="1" applyAlignment="1" applyProtection="1">
      <alignment horizontal="right" vertical="center"/>
      <protection locked="0"/>
    </xf>
    <xf numFmtId="0" fontId="36" fillId="6" borderId="14" xfId="0" applyFont="1" applyFill="1" applyBorder="1" applyAlignment="1" applyProtection="1">
      <alignment horizontal="right" vertical="center"/>
      <protection locked="0"/>
    </xf>
    <xf numFmtId="176" fontId="42" fillId="4" borderId="9" xfId="1" applyNumberFormat="1" applyFont="1" applyFill="1" applyBorder="1" applyAlignment="1" applyProtection="1">
      <alignment vertical="center"/>
      <protection locked="0"/>
    </xf>
    <xf numFmtId="38" fontId="42" fillId="4" borderId="1" xfId="1" applyFont="1" applyFill="1" applyBorder="1" applyAlignment="1" applyProtection="1">
      <alignment vertical="center" wrapText="1"/>
      <protection locked="0"/>
    </xf>
    <xf numFmtId="38" fontId="42" fillId="4" borderId="1" xfId="1" applyFont="1" applyFill="1" applyBorder="1" applyAlignment="1" applyProtection="1">
      <alignment vertical="center"/>
      <protection locked="0"/>
    </xf>
    <xf numFmtId="0" fontId="3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6" fillId="7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6" fillId="7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41" fillId="0" borderId="0" xfId="0" applyFont="1" applyBorder="1" applyAlignment="1" applyProtection="1">
      <alignment vertical="center" wrapText="1"/>
      <protection locked="0"/>
    </xf>
    <xf numFmtId="3" fontId="41" fillId="0" borderId="0" xfId="0" applyNumberFormat="1" applyFont="1" applyBorder="1" applyAlignment="1" applyProtection="1">
      <alignment vertical="center" wrapText="1"/>
      <protection locked="0"/>
    </xf>
    <xf numFmtId="57" fontId="36" fillId="4" borderId="4" xfId="0" applyNumberFormat="1" applyFont="1" applyFill="1" applyBorder="1" applyAlignment="1" applyProtection="1">
      <alignment horizontal="center" vertical="center"/>
      <protection locked="0"/>
    </xf>
    <xf numFmtId="0" fontId="36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7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42" fillId="4" borderId="0" xfId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42" fillId="4" borderId="7" xfId="1" applyFont="1" applyFill="1" applyBorder="1" applyAlignment="1" applyProtection="1">
      <alignment horizontal="center" vertical="center" shrinkToFit="1"/>
      <protection locked="0"/>
    </xf>
    <xf numFmtId="38" fontId="4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 wrapText="1"/>
    </xf>
    <xf numFmtId="0" fontId="34" fillId="4" borderId="41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6" fillId="0" borderId="38" xfId="0" applyFont="1" applyFill="1" applyBorder="1">
      <alignment vertical="center"/>
    </xf>
    <xf numFmtId="0" fontId="24" fillId="5" borderId="32" xfId="0" applyFont="1" applyFill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32" fillId="4" borderId="35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32" fillId="4" borderId="45" xfId="0" applyFont="1" applyFill="1" applyBorder="1" applyAlignment="1">
      <alignment horizontal="center" vertical="center" wrapText="1"/>
    </xf>
    <xf numFmtId="0" fontId="32" fillId="4" borderId="4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/>
    </xf>
    <xf numFmtId="0" fontId="34" fillId="4" borderId="4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32" fillId="4" borderId="44" xfId="0" applyFont="1" applyFill="1" applyBorder="1" applyAlignment="1">
      <alignment horizontal="center" vertical="center" wrapText="1"/>
    </xf>
    <xf numFmtId="0" fontId="32" fillId="4" borderId="40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5" fillId="4" borderId="5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5" fillId="4" borderId="51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5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34" fillId="4" borderId="42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31" xfId="0" applyFont="1" applyFill="1" applyBorder="1">
      <alignment vertical="center"/>
    </xf>
    <xf numFmtId="0" fontId="26" fillId="0" borderId="38" xfId="0" applyFont="1" applyBorder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9" fillId="4" borderId="37" xfId="0" applyFont="1" applyFill="1" applyBorder="1" applyAlignment="1">
      <alignment horizontal="center" vertical="center"/>
    </xf>
    <xf numFmtId="0" fontId="30" fillId="4" borderId="42" xfId="0" applyFont="1" applyFill="1" applyBorder="1" applyAlignment="1">
      <alignment horizontal="center" vertical="center"/>
    </xf>
    <xf numFmtId="0" fontId="29" fillId="4" borderId="45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30" fillId="4" borderId="42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3" fontId="41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1" fillId="7" borderId="8" xfId="0" applyFont="1" applyFill="1" applyBorder="1" applyAlignment="1" applyProtection="1">
      <alignment horizontal="center" vertical="center" wrapText="1"/>
      <protection locked="0"/>
    </xf>
    <xf numFmtId="0" fontId="41" fillId="7" borderId="15" xfId="0" applyFont="1" applyFill="1" applyBorder="1" applyAlignment="1" applyProtection="1">
      <alignment horizontal="center" vertical="center" wrapText="1"/>
      <protection locked="0"/>
    </xf>
    <xf numFmtId="0" fontId="41" fillId="7" borderId="66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15" xfId="0" applyFont="1" applyFill="1" applyBorder="1" applyAlignment="1" applyProtection="1">
      <alignment horizontal="center" vertical="center" wrapText="1"/>
      <protection locked="0"/>
    </xf>
    <xf numFmtId="0" fontId="9" fillId="7" borderId="66" xfId="0" applyFont="1" applyFill="1" applyBorder="1" applyAlignment="1" applyProtection="1">
      <alignment horizontal="center" vertical="center" wrapText="1"/>
      <protection locked="0"/>
    </xf>
    <xf numFmtId="0" fontId="41" fillId="7" borderId="1" xfId="0" applyFont="1" applyFill="1" applyBorder="1" applyAlignment="1" applyProtection="1">
      <alignment horizontal="center" vertical="center" wrapText="1"/>
      <protection locked="0"/>
    </xf>
    <xf numFmtId="0" fontId="36" fillId="7" borderId="61" xfId="0" applyFont="1" applyFill="1" applyBorder="1" applyAlignment="1" applyProtection="1">
      <alignment horizontal="center" vertical="center" wrapText="1"/>
      <protection locked="0"/>
    </xf>
    <xf numFmtId="0" fontId="37" fillId="7" borderId="61" xfId="0" applyFont="1" applyFill="1" applyBorder="1" applyAlignment="1" applyProtection="1">
      <alignment horizontal="center" vertical="center" wrapText="1"/>
      <protection locked="0"/>
    </xf>
    <xf numFmtId="0" fontId="36" fillId="7" borderId="61" xfId="0" applyFont="1" applyFill="1" applyBorder="1" applyAlignment="1" applyProtection="1">
      <alignment horizontal="center" vertical="center" shrinkToFit="1"/>
      <protection locked="0"/>
    </xf>
    <xf numFmtId="0" fontId="37" fillId="7" borderId="61" xfId="0" applyFont="1" applyFill="1" applyBorder="1" applyAlignment="1" applyProtection="1">
      <alignment horizontal="center" vertical="center" shrinkToFit="1"/>
      <protection locked="0"/>
    </xf>
    <xf numFmtId="177" fontId="36" fillId="0" borderId="54" xfId="0" applyNumberFormat="1" applyFont="1" applyFill="1" applyBorder="1" applyAlignment="1" applyProtection="1">
      <alignment horizontal="center" vertical="center"/>
    </xf>
    <xf numFmtId="177" fontId="36" fillId="0" borderId="56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7" fontId="36" fillId="0" borderId="54" xfId="0" applyNumberFormat="1" applyFont="1" applyBorder="1" applyAlignment="1" applyProtection="1">
      <alignment horizontal="center" vertical="center"/>
    </xf>
    <xf numFmtId="177" fontId="36" fillId="0" borderId="5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470648</xdr:colOff>
      <xdr:row>6</xdr:row>
      <xdr:rowOff>201706</xdr:rowOff>
    </xdr:from>
    <xdr:to>
      <xdr:col>6</xdr:col>
      <xdr:colOff>280148</xdr:colOff>
      <xdr:row>10</xdr:row>
      <xdr:rowOff>224118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ACBD49D-24F8-4191-909F-E36635C63BBB}"/>
            </a:ext>
          </a:extLst>
        </xdr:cNvPr>
        <xdr:cNvSpPr/>
      </xdr:nvSpPr>
      <xdr:spPr>
        <a:xfrm>
          <a:off x="2723030" y="1613647"/>
          <a:ext cx="2017059" cy="963706"/>
        </a:xfrm>
        <a:prstGeom prst="wedgeRectCallout">
          <a:avLst>
            <a:gd name="adj1" fmla="val -64722"/>
            <a:gd name="adj2" fmla="val -3042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利用者名簿をもとに、入力してください。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色付き部分以外入力不要</a:t>
          </a:r>
        </a:p>
      </xdr:txBody>
    </xdr:sp>
    <xdr:clientData/>
  </xdr:twoCellAnchor>
  <xdr:twoCellAnchor>
    <xdr:from>
      <xdr:col>2</xdr:col>
      <xdr:colOff>784412</xdr:colOff>
      <xdr:row>14</xdr:row>
      <xdr:rowOff>96371</xdr:rowOff>
    </xdr:from>
    <xdr:to>
      <xdr:col>5</xdr:col>
      <xdr:colOff>488578</xdr:colOff>
      <xdr:row>19</xdr:row>
      <xdr:rowOff>100853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44FAFF7-50E5-4D70-95B1-BBC2B495F793}"/>
            </a:ext>
          </a:extLst>
        </xdr:cNvPr>
        <xdr:cNvSpPr/>
      </xdr:nvSpPr>
      <xdr:spPr>
        <a:xfrm>
          <a:off x="2196353" y="3390900"/>
          <a:ext cx="2068607" cy="1181100"/>
        </a:xfrm>
        <a:prstGeom prst="wedgeRectCallout">
          <a:avLst>
            <a:gd name="adj1" fmla="val 60834"/>
            <a:gd name="adj2" fmla="val -420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「事業報告書」のシートに入力した結果で、補助対象となる利用者の数が自動計算されます。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142875</xdr:rowOff>
    </xdr:from>
    <xdr:to>
      <xdr:col>10</xdr:col>
      <xdr:colOff>438149</xdr:colOff>
      <xdr:row>2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2DDD42-9C56-4C4A-B703-3080C24EA99D}"/>
            </a:ext>
          </a:extLst>
        </xdr:cNvPr>
        <xdr:cNvSpPr/>
      </xdr:nvSpPr>
      <xdr:spPr>
        <a:xfrm>
          <a:off x="5010150" y="14287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7</xdr:row>
      <xdr:rowOff>295275</xdr:rowOff>
    </xdr:from>
    <xdr:to>
      <xdr:col>3</xdr:col>
      <xdr:colOff>1838325</xdr:colOff>
      <xdr:row>11</xdr:row>
      <xdr:rowOff>76200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C30C749-CA4D-47E8-9721-9DAA4C90B79E}"/>
            </a:ext>
          </a:extLst>
        </xdr:cNvPr>
        <xdr:cNvSpPr/>
      </xdr:nvSpPr>
      <xdr:spPr>
        <a:xfrm>
          <a:off x="1762125" y="2657475"/>
          <a:ext cx="2552700" cy="1190625"/>
        </a:xfrm>
        <a:prstGeom prst="wedgeRectCallout">
          <a:avLst>
            <a:gd name="adj1" fmla="val -12247"/>
            <a:gd name="adj2" fmla="val -771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支出した日付、補助区分、補助対象経費、支出金額を入力してください。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入</a:t>
          </a:r>
          <a:r>
            <a:rPr kumimoji="1" lang="en-US" altLang="ja-JP" sz="1100"/>
            <a:t>0</a:t>
          </a:r>
          <a:r>
            <a:rPr kumimoji="1" lang="ja-JP" altLang="en-US" sz="1100"/>
            <a:t>力した結果が、「支出合計」のシートに反映されます。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313764</xdr:colOff>
      <xdr:row>3</xdr:row>
      <xdr:rowOff>22411</xdr:rowOff>
    </xdr:from>
    <xdr:to>
      <xdr:col>3</xdr:col>
      <xdr:colOff>2442882</xdr:colOff>
      <xdr:row>4</xdr:row>
      <xdr:rowOff>280148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0109A79-C679-4FB8-A807-46E580D0A726}"/>
            </a:ext>
          </a:extLst>
        </xdr:cNvPr>
        <xdr:cNvSpPr>
          <a:spLocks noChangeArrowheads="1"/>
        </xdr:cNvSpPr>
      </xdr:nvSpPr>
      <xdr:spPr bwMode="auto">
        <a:xfrm>
          <a:off x="3809999" y="997323"/>
          <a:ext cx="2129118" cy="481854"/>
        </a:xfrm>
        <a:prstGeom prst="wedgeRectCallout">
          <a:avLst>
            <a:gd name="adj1" fmla="val -80175"/>
            <a:gd name="adj2" fmla="val 4935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+mn-cs"/>
            </a:rPr>
            <a:t>市からの補助金は千円未満は切り捨てとなります。</a:t>
          </a:r>
          <a:endParaRPr lang="ja-JP" altLang="en-US" sz="1200" b="0" i="0" u="none" strike="noStrike" baseline="0">
            <a:solidFill>
              <a:srgbClr val="44546A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526676</xdr:colOff>
      <xdr:row>6</xdr:row>
      <xdr:rowOff>78441</xdr:rowOff>
    </xdr:from>
    <xdr:to>
      <xdr:col>3</xdr:col>
      <xdr:colOff>2410509</xdr:colOff>
      <xdr:row>9</xdr:row>
      <xdr:rowOff>110191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2F88F585-801C-4DC0-BAEE-8A230FDC94D5}"/>
            </a:ext>
          </a:extLst>
        </xdr:cNvPr>
        <xdr:cNvSpPr>
          <a:spLocks noChangeArrowheads="1"/>
        </xdr:cNvSpPr>
      </xdr:nvSpPr>
      <xdr:spPr bwMode="auto">
        <a:xfrm>
          <a:off x="4022911" y="1949823"/>
          <a:ext cx="1883833" cy="1174750"/>
        </a:xfrm>
        <a:prstGeom prst="wedgeRectCallout">
          <a:avLst>
            <a:gd name="adj1" fmla="val -78946"/>
            <a:gd name="adj2" fmla="val -2930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Times New Roman"/>
            </a:rPr>
            <a:t>千円未満の分に充てた収入の名称（例えば、利用料やその他　等）と金額を記入してください。</a:t>
          </a:r>
        </a:p>
      </xdr:txBody>
    </xdr:sp>
    <xdr:clientData/>
  </xdr:twoCellAnchor>
  <xdr:twoCellAnchor>
    <xdr:from>
      <xdr:col>3</xdr:col>
      <xdr:colOff>1154206</xdr:colOff>
      <xdr:row>16</xdr:row>
      <xdr:rowOff>33618</xdr:rowOff>
    </xdr:from>
    <xdr:to>
      <xdr:col>3</xdr:col>
      <xdr:colOff>3933265</xdr:colOff>
      <xdr:row>18</xdr:row>
      <xdr:rowOff>78442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CF8C8DA-495E-4030-91DA-3109D89AD6DB}"/>
            </a:ext>
          </a:extLst>
        </xdr:cNvPr>
        <xdr:cNvSpPr/>
      </xdr:nvSpPr>
      <xdr:spPr>
        <a:xfrm>
          <a:off x="4650441" y="5244353"/>
          <a:ext cx="2779059" cy="806824"/>
        </a:xfrm>
        <a:prstGeom prst="wedgeRectCallout">
          <a:avLst>
            <a:gd name="adj1" fmla="val -24957"/>
            <a:gd name="adj2" fmla="val -6516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決算額は、「支出合計」のシートから自動計算されますので、説明部分を入力してください。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520552</xdr:colOff>
      <xdr:row>6</xdr:row>
      <xdr:rowOff>188285</xdr:rowOff>
    </xdr:from>
    <xdr:to>
      <xdr:col>5</xdr:col>
      <xdr:colOff>419364</xdr:colOff>
      <xdr:row>7</xdr:row>
      <xdr:rowOff>92253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7C4EE34-8568-4BE5-9610-5343AE7461C6}"/>
            </a:ext>
          </a:extLst>
        </xdr:cNvPr>
        <xdr:cNvSpPr/>
      </xdr:nvSpPr>
      <xdr:spPr>
        <a:xfrm>
          <a:off x="2901802" y="1836110"/>
          <a:ext cx="1089437" cy="31354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517894</xdr:colOff>
      <xdr:row>9</xdr:row>
      <xdr:rowOff>307459</xdr:rowOff>
    </xdr:from>
    <xdr:to>
      <xdr:col>5</xdr:col>
      <xdr:colOff>416706</xdr:colOff>
      <xdr:row>10</xdr:row>
      <xdr:rowOff>311107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24B07E-DE94-4EA7-9131-6A9F1244E011}"/>
            </a:ext>
          </a:extLst>
        </xdr:cNvPr>
        <xdr:cNvSpPr/>
      </xdr:nvSpPr>
      <xdr:spPr>
        <a:xfrm>
          <a:off x="2899144" y="3079234"/>
          <a:ext cx="1089437" cy="30844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5760</xdr:colOff>
      <xdr:row>8</xdr:row>
      <xdr:rowOff>16836</xdr:rowOff>
    </xdr:from>
    <xdr:to>
      <xdr:col>5</xdr:col>
      <xdr:colOff>447275</xdr:colOff>
      <xdr:row>8</xdr:row>
      <xdr:rowOff>330600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D27CB1-540F-4EFB-871A-3911AC191684}"/>
            </a:ext>
          </a:extLst>
        </xdr:cNvPr>
        <xdr:cNvSpPr/>
      </xdr:nvSpPr>
      <xdr:spPr>
        <a:xfrm>
          <a:off x="2929935" y="2379036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523653</xdr:colOff>
      <xdr:row>12</xdr:row>
      <xdr:rowOff>368596</xdr:rowOff>
    </xdr:from>
    <xdr:to>
      <xdr:col>5</xdr:col>
      <xdr:colOff>422465</xdr:colOff>
      <xdr:row>13</xdr:row>
      <xdr:rowOff>272563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965F243-AC73-49A6-BC67-395B2E1DB7B1}"/>
            </a:ext>
          </a:extLst>
        </xdr:cNvPr>
        <xdr:cNvSpPr/>
      </xdr:nvSpPr>
      <xdr:spPr>
        <a:xfrm>
          <a:off x="2904903" y="4159546"/>
          <a:ext cx="1089437" cy="31354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11519</xdr:colOff>
      <xdr:row>14</xdr:row>
      <xdr:rowOff>11519</xdr:rowOff>
    </xdr:from>
    <xdr:to>
      <xdr:col>5</xdr:col>
      <xdr:colOff>453034</xdr:colOff>
      <xdr:row>14</xdr:row>
      <xdr:rowOff>325283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B6978A8-8F64-4D1F-99E9-882A8CAEE707}"/>
            </a:ext>
          </a:extLst>
        </xdr:cNvPr>
        <xdr:cNvSpPr/>
      </xdr:nvSpPr>
      <xdr:spPr>
        <a:xfrm>
          <a:off x="2935694" y="4516844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708836</xdr:colOff>
      <xdr:row>3</xdr:row>
      <xdr:rowOff>232587</xdr:rowOff>
    </xdr:from>
    <xdr:to>
      <xdr:col>3</xdr:col>
      <xdr:colOff>465174</xdr:colOff>
      <xdr:row>6</xdr:row>
      <xdr:rowOff>387644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C99D60BF-8E75-4281-B6A7-970211934E8B}"/>
            </a:ext>
          </a:extLst>
        </xdr:cNvPr>
        <xdr:cNvSpPr/>
      </xdr:nvSpPr>
      <xdr:spPr>
        <a:xfrm>
          <a:off x="985726" y="919273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2</xdr:col>
      <xdr:colOff>177209</xdr:colOff>
      <xdr:row>8</xdr:row>
      <xdr:rowOff>254739</xdr:rowOff>
    </xdr:from>
    <xdr:to>
      <xdr:col>6</xdr:col>
      <xdr:colOff>143983</xdr:colOff>
      <xdr:row>10</xdr:row>
      <xdr:rowOff>199361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CF9368D2-A025-4F5F-96ED-C3FE5F4CB74E}"/>
            </a:ext>
          </a:extLst>
        </xdr:cNvPr>
        <xdr:cNvSpPr/>
      </xdr:nvSpPr>
      <xdr:spPr>
        <a:xfrm>
          <a:off x="2558459" y="2624913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520552</xdr:colOff>
      <xdr:row>6</xdr:row>
      <xdr:rowOff>188285</xdr:rowOff>
    </xdr:from>
    <xdr:to>
      <xdr:col>5</xdr:col>
      <xdr:colOff>419364</xdr:colOff>
      <xdr:row>7</xdr:row>
      <xdr:rowOff>92253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6992305-FF62-435A-AAF7-58E81F0DBD30}"/>
            </a:ext>
          </a:extLst>
        </xdr:cNvPr>
        <xdr:cNvSpPr/>
      </xdr:nvSpPr>
      <xdr:spPr>
        <a:xfrm>
          <a:off x="2901802" y="1836110"/>
          <a:ext cx="1089437" cy="31354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517894</xdr:colOff>
      <xdr:row>9</xdr:row>
      <xdr:rowOff>307459</xdr:rowOff>
    </xdr:from>
    <xdr:to>
      <xdr:col>5</xdr:col>
      <xdr:colOff>416706</xdr:colOff>
      <xdr:row>10</xdr:row>
      <xdr:rowOff>311107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41D6FA3-4BF9-4300-8B21-EFFF27F62C7A}"/>
            </a:ext>
          </a:extLst>
        </xdr:cNvPr>
        <xdr:cNvSpPr/>
      </xdr:nvSpPr>
      <xdr:spPr>
        <a:xfrm>
          <a:off x="2899144" y="3079234"/>
          <a:ext cx="1089437" cy="30844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5760</xdr:colOff>
      <xdr:row>8</xdr:row>
      <xdr:rowOff>16836</xdr:rowOff>
    </xdr:from>
    <xdr:to>
      <xdr:col>5</xdr:col>
      <xdr:colOff>447275</xdr:colOff>
      <xdr:row>8</xdr:row>
      <xdr:rowOff>330600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5891381-852C-446E-84CF-C427C650A334}"/>
            </a:ext>
          </a:extLst>
        </xdr:cNvPr>
        <xdr:cNvSpPr/>
      </xdr:nvSpPr>
      <xdr:spPr>
        <a:xfrm>
          <a:off x="2929935" y="2379036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523653</xdr:colOff>
      <xdr:row>12</xdr:row>
      <xdr:rowOff>368596</xdr:rowOff>
    </xdr:from>
    <xdr:to>
      <xdr:col>5</xdr:col>
      <xdr:colOff>422465</xdr:colOff>
      <xdr:row>13</xdr:row>
      <xdr:rowOff>272563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4283688-52A6-42F6-914E-494378F38F96}"/>
            </a:ext>
          </a:extLst>
        </xdr:cNvPr>
        <xdr:cNvSpPr/>
      </xdr:nvSpPr>
      <xdr:spPr>
        <a:xfrm>
          <a:off x="2904903" y="4159546"/>
          <a:ext cx="1089437" cy="31354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11519</xdr:colOff>
      <xdr:row>14</xdr:row>
      <xdr:rowOff>11519</xdr:rowOff>
    </xdr:from>
    <xdr:to>
      <xdr:col>5</xdr:col>
      <xdr:colOff>453034</xdr:colOff>
      <xdr:row>14</xdr:row>
      <xdr:rowOff>325283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F74D5A7-E3E3-4618-90AE-011F60846E43}"/>
            </a:ext>
          </a:extLst>
        </xdr:cNvPr>
        <xdr:cNvSpPr/>
      </xdr:nvSpPr>
      <xdr:spPr>
        <a:xfrm>
          <a:off x="2935694" y="4516844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673100</xdr:colOff>
      <xdr:row>3</xdr:row>
      <xdr:rowOff>88900</xdr:rowOff>
    </xdr:from>
    <xdr:to>
      <xdr:col>3</xdr:col>
      <xdr:colOff>422201</xdr:colOff>
      <xdr:row>6</xdr:row>
      <xdr:rowOff>216933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B1692E3-8660-4423-AE0D-BBC316412321}"/>
            </a:ext>
          </a:extLst>
        </xdr:cNvPr>
        <xdr:cNvSpPr/>
      </xdr:nvSpPr>
      <xdr:spPr>
        <a:xfrm>
          <a:off x="952500" y="774700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2</xdr:col>
      <xdr:colOff>50800</xdr:colOff>
      <xdr:row>8</xdr:row>
      <xdr:rowOff>190500</xdr:rowOff>
    </xdr:from>
    <xdr:to>
      <xdr:col>6</xdr:col>
      <xdr:colOff>4136</xdr:colOff>
      <xdr:row>10</xdr:row>
      <xdr:rowOff>143835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DFDAD218-7ED8-4A60-BB8B-392AB85431C0}"/>
            </a:ext>
          </a:extLst>
        </xdr:cNvPr>
        <xdr:cNvSpPr/>
      </xdr:nvSpPr>
      <xdr:spPr>
        <a:xfrm>
          <a:off x="2438400" y="2578100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228599</xdr:rowOff>
    </xdr:from>
    <xdr:to>
      <xdr:col>5</xdr:col>
      <xdr:colOff>285750</xdr:colOff>
      <xdr:row>23</xdr:row>
      <xdr:rowOff>114299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8753195-A55F-45EE-9E4E-8F995A556F8B}"/>
            </a:ext>
          </a:extLst>
        </xdr:cNvPr>
        <xdr:cNvSpPr/>
      </xdr:nvSpPr>
      <xdr:spPr>
        <a:xfrm>
          <a:off x="638175" y="4295774"/>
          <a:ext cx="2552700" cy="1076325"/>
        </a:xfrm>
        <a:prstGeom prst="wedgeRectCallout">
          <a:avLst>
            <a:gd name="adj1" fmla="val 39991"/>
            <a:gd name="adj2" fmla="val -1086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人件費等の領収書がないものは、支払った方の氏名及び金額を入力し、押印をお願いします。</a:t>
          </a:r>
        </a:p>
      </xdr:txBody>
    </xdr:sp>
    <xdr:clientData/>
  </xdr:twoCellAnchor>
  <xdr:twoCellAnchor>
    <xdr:from>
      <xdr:col>7</xdr:col>
      <xdr:colOff>409575</xdr:colOff>
      <xdr:row>2</xdr:row>
      <xdr:rowOff>66675</xdr:rowOff>
    </xdr:from>
    <xdr:to>
      <xdr:col>12</xdr:col>
      <xdr:colOff>581025</xdr:colOff>
      <xdr:row>7</xdr:row>
      <xdr:rowOff>142875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D7249B8-95BC-4D48-968C-6BC12BFD73CA}"/>
            </a:ext>
          </a:extLst>
        </xdr:cNvPr>
        <xdr:cNvSpPr/>
      </xdr:nvSpPr>
      <xdr:spPr>
        <a:xfrm>
          <a:off x="4476750" y="723900"/>
          <a:ext cx="2952750" cy="933450"/>
        </a:xfrm>
        <a:prstGeom prst="wedgeRectCallout">
          <a:avLst>
            <a:gd name="adj1" fmla="val -35288"/>
            <a:gd name="adj2" fmla="val -668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対象経費を選択し、対象期間を入力すれば、支出明細のシートに入力された金額が自動計算されます。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6</xdr:row>
      <xdr:rowOff>9526</xdr:rowOff>
    </xdr:from>
    <xdr:to>
      <xdr:col>8</xdr:col>
      <xdr:colOff>304800</xdr:colOff>
      <xdr:row>9</xdr:row>
      <xdr:rowOff>228601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138F60F-2B95-43C3-95B8-01E4091DE24F}"/>
            </a:ext>
          </a:extLst>
        </xdr:cNvPr>
        <xdr:cNvSpPr/>
      </xdr:nvSpPr>
      <xdr:spPr>
        <a:xfrm>
          <a:off x="2400300" y="1552576"/>
          <a:ext cx="2552700" cy="933450"/>
        </a:xfrm>
        <a:prstGeom prst="wedgeRectCallout">
          <a:avLst>
            <a:gd name="adj1" fmla="val 35140"/>
            <a:gd name="adj2" fmla="val -1504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対象経費を選択し、対象期間を入力すれば、その期間に支払った金額が自動計算されます。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C1D4-8461-4F58-A1B8-68883C2A38B6}">
  <dimension ref="A1:H28"/>
  <sheetViews>
    <sheetView tabSelected="1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34</v>
      </c>
    </row>
    <row r="2" spans="1:8">
      <c r="A2" s="43"/>
      <c r="B2" s="42" t="s">
        <v>0</v>
      </c>
      <c r="C2" s="42" t="s">
        <v>25</v>
      </c>
      <c r="D2" s="42" t="s">
        <v>26</v>
      </c>
      <c r="F2" s="168" t="s">
        <v>30</v>
      </c>
      <c r="G2" s="168" t="s">
        <v>29</v>
      </c>
      <c r="H2" s="169" t="s">
        <v>31</v>
      </c>
    </row>
    <row r="3" spans="1:8">
      <c r="A3" s="1">
        <v>1</v>
      </c>
      <c r="B3" s="113" t="s">
        <v>198</v>
      </c>
      <c r="C3" s="113" t="s">
        <v>146</v>
      </c>
      <c r="D3" s="10" t="str">
        <f>IF(OR(C3="事業対象者",C3="要支援1", C3="要支援2"), "〇", "")</f>
        <v>〇</v>
      </c>
      <c r="F3" s="168"/>
      <c r="G3" s="168"/>
      <c r="H3" s="169"/>
    </row>
    <row r="4" spans="1:8" ht="18.75" customHeight="1">
      <c r="A4" s="1">
        <v>2</v>
      </c>
      <c r="B4" s="113" t="s">
        <v>142</v>
      </c>
      <c r="C4" s="113" t="s">
        <v>143</v>
      </c>
      <c r="D4" s="10" t="str">
        <f t="shared" ref="D4:D22" si="0">IF(OR(C4="事業対象者",C4="要支援1", C4="要支援2"), "〇", "")</f>
        <v>〇</v>
      </c>
      <c r="F4" s="168"/>
      <c r="G4" s="168"/>
      <c r="H4" s="169"/>
    </row>
    <row r="5" spans="1:8" ht="18.75" customHeight="1">
      <c r="A5" s="1">
        <v>3</v>
      </c>
      <c r="B5" s="113" t="s">
        <v>144</v>
      </c>
      <c r="C5" s="113" t="s">
        <v>143</v>
      </c>
      <c r="D5" s="10" t="str">
        <f t="shared" si="0"/>
        <v>〇</v>
      </c>
      <c r="F5" s="171" t="s">
        <v>27</v>
      </c>
      <c r="G5" s="12" t="s">
        <v>126</v>
      </c>
      <c r="H5" s="13" t="s">
        <v>129</v>
      </c>
    </row>
    <row r="6" spans="1:8" ht="18.75" customHeight="1">
      <c r="A6" s="1">
        <v>4</v>
      </c>
      <c r="B6" s="113" t="s">
        <v>145</v>
      </c>
      <c r="C6" s="113" t="s">
        <v>146</v>
      </c>
      <c r="D6" s="10" t="str">
        <f t="shared" si="0"/>
        <v>〇</v>
      </c>
      <c r="F6" s="171"/>
      <c r="G6" s="12" t="s">
        <v>28</v>
      </c>
      <c r="H6" s="13" t="s">
        <v>130</v>
      </c>
    </row>
    <row r="7" spans="1:8" ht="18.75" customHeight="1">
      <c r="A7" s="1">
        <v>5</v>
      </c>
      <c r="B7" s="113" t="s">
        <v>147</v>
      </c>
      <c r="C7" s="113" t="s">
        <v>143</v>
      </c>
      <c r="D7" s="10" t="str">
        <f t="shared" si="0"/>
        <v>〇</v>
      </c>
      <c r="F7" s="171"/>
      <c r="G7" s="12" t="s">
        <v>127</v>
      </c>
      <c r="H7" s="13" t="s">
        <v>131</v>
      </c>
    </row>
    <row r="8" spans="1:8">
      <c r="A8" s="1">
        <v>6</v>
      </c>
      <c r="B8" s="113" t="s">
        <v>148</v>
      </c>
      <c r="C8" s="113" t="s">
        <v>149</v>
      </c>
      <c r="D8" s="10" t="str">
        <f t="shared" si="0"/>
        <v/>
      </c>
      <c r="F8" s="171"/>
      <c r="G8" s="75" t="s">
        <v>128</v>
      </c>
      <c r="H8" s="13" t="s">
        <v>132</v>
      </c>
    </row>
    <row r="9" spans="1:8">
      <c r="A9" s="1">
        <v>7</v>
      </c>
      <c r="B9" s="113" t="s">
        <v>150</v>
      </c>
      <c r="C9" s="113" t="s">
        <v>149</v>
      </c>
      <c r="D9" s="10" t="str">
        <f t="shared" si="0"/>
        <v/>
      </c>
      <c r="F9" s="15"/>
      <c r="G9" s="15"/>
      <c r="H9" s="16"/>
    </row>
    <row r="10" spans="1:8">
      <c r="A10" s="1">
        <v>8</v>
      </c>
      <c r="B10" s="107"/>
      <c r="C10" s="106"/>
      <c r="D10" s="10" t="str">
        <f t="shared" si="0"/>
        <v/>
      </c>
      <c r="F10" t="s">
        <v>50</v>
      </c>
    </row>
    <row r="11" spans="1:8">
      <c r="A11" s="1">
        <v>9</v>
      </c>
      <c r="B11" s="107"/>
      <c r="C11" s="106"/>
      <c r="D11" s="10" t="str">
        <f t="shared" si="0"/>
        <v/>
      </c>
      <c r="F11" s="43"/>
      <c r="G11" s="42" t="s">
        <v>32</v>
      </c>
      <c r="H11" s="42" t="s">
        <v>33</v>
      </c>
    </row>
    <row r="12" spans="1:8">
      <c r="A12" s="1">
        <v>10</v>
      </c>
      <c r="B12" s="44"/>
      <c r="C12" s="45"/>
      <c r="D12" s="10" t="str">
        <f t="shared" si="0"/>
        <v/>
      </c>
      <c r="F12" s="7" t="s">
        <v>35</v>
      </c>
      <c r="G12" s="46">
        <f>'事業報告書（4月～9月）'!AP27</f>
        <v>5</v>
      </c>
      <c r="H12" s="47">
        <f>IF(G12&lt;2, 0, IF(G12&lt;=4, 10000, IF(G12&lt;=9, 23000, IF(G12&lt;=19, 48000, 63000))))</f>
        <v>23000</v>
      </c>
    </row>
    <row r="13" spans="1:8">
      <c r="A13" s="1">
        <v>11</v>
      </c>
      <c r="B13" s="44"/>
      <c r="C13" s="45"/>
      <c r="D13" s="10" t="str">
        <f t="shared" si="0"/>
        <v/>
      </c>
      <c r="F13" s="7" t="s">
        <v>36</v>
      </c>
      <c r="G13" s="46">
        <f>'事業報告書（4月～9月）'!AR27</f>
        <v>5</v>
      </c>
      <c r="H13" s="47">
        <f t="shared" ref="H13:H23" si="1">IF(G13&lt;2, 0, IF(G13&lt;=4, 10000, IF(G13&lt;=9, 23000, IF(G13&lt;=19, 48000, 63000))))</f>
        <v>23000</v>
      </c>
    </row>
    <row r="14" spans="1:8">
      <c r="A14" s="1">
        <v>12</v>
      </c>
      <c r="B14" s="44"/>
      <c r="C14" s="45"/>
      <c r="D14" s="10" t="str">
        <f t="shared" si="0"/>
        <v/>
      </c>
      <c r="F14" s="7" t="s">
        <v>37</v>
      </c>
      <c r="G14" s="46">
        <f>'事業報告書（4月～9月）'!AT27</f>
        <v>4</v>
      </c>
      <c r="H14" s="47">
        <f t="shared" si="1"/>
        <v>10000</v>
      </c>
    </row>
    <row r="15" spans="1:8">
      <c r="A15" s="1">
        <v>13</v>
      </c>
      <c r="B15" s="44"/>
      <c r="C15" s="45"/>
      <c r="D15" s="10" t="str">
        <f t="shared" si="0"/>
        <v/>
      </c>
      <c r="F15" s="7" t="s">
        <v>38</v>
      </c>
      <c r="G15" s="46">
        <f>'事業報告書（4月～9月）'!AV27</f>
        <v>5</v>
      </c>
      <c r="H15" s="47">
        <f t="shared" si="1"/>
        <v>23000</v>
      </c>
    </row>
    <row r="16" spans="1:8">
      <c r="A16" s="1">
        <v>14</v>
      </c>
      <c r="B16" s="44"/>
      <c r="C16" s="45"/>
      <c r="D16" s="10" t="str">
        <f t="shared" si="0"/>
        <v/>
      </c>
      <c r="F16" s="7" t="s">
        <v>39</v>
      </c>
      <c r="G16" s="46">
        <f>'事業報告書（4月～9月）'!AX27</f>
        <v>5</v>
      </c>
      <c r="H16" s="47">
        <f t="shared" si="1"/>
        <v>23000</v>
      </c>
    </row>
    <row r="17" spans="1:8">
      <c r="A17" s="1">
        <v>15</v>
      </c>
      <c r="B17" s="44"/>
      <c r="C17" s="45"/>
      <c r="D17" s="10" t="str">
        <f t="shared" si="0"/>
        <v/>
      </c>
      <c r="F17" s="7" t="s">
        <v>40</v>
      </c>
      <c r="G17" s="46">
        <f>'事業報告書（4月～9月）'!AZ27</f>
        <v>5</v>
      </c>
      <c r="H17" s="47">
        <f t="shared" si="1"/>
        <v>23000</v>
      </c>
    </row>
    <row r="18" spans="1:8">
      <c r="A18" s="1">
        <v>16</v>
      </c>
      <c r="B18" s="44"/>
      <c r="C18" s="45"/>
      <c r="D18" s="10" t="str">
        <f t="shared" si="0"/>
        <v/>
      </c>
      <c r="F18" s="7" t="s">
        <v>41</v>
      </c>
      <c r="G18" s="46">
        <f>'事業報告書（10月～3月）'!AP27</f>
        <v>5</v>
      </c>
      <c r="H18" s="47">
        <f t="shared" si="1"/>
        <v>23000</v>
      </c>
    </row>
    <row r="19" spans="1:8">
      <c r="A19" s="1">
        <v>17</v>
      </c>
      <c r="B19" s="44"/>
      <c r="C19" s="45"/>
      <c r="D19" s="10" t="str">
        <f t="shared" si="0"/>
        <v/>
      </c>
      <c r="F19" s="7" t="s">
        <v>42</v>
      </c>
      <c r="G19" s="46">
        <f>'事業報告書（10月～3月）'!AR27</f>
        <v>5</v>
      </c>
      <c r="H19" s="47">
        <f t="shared" si="1"/>
        <v>23000</v>
      </c>
    </row>
    <row r="20" spans="1:8">
      <c r="A20" s="1">
        <v>18</v>
      </c>
      <c r="B20" s="44"/>
      <c r="C20" s="45"/>
      <c r="D20" s="10" t="str">
        <f t="shared" si="0"/>
        <v/>
      </c>
      <c r="F20" s="7" t="s">
        <v>43</v>
      </c>
      <c r="G20" s="46">
        <f>'事業報告書（10月～3月）'!AT27</f>
        <v>5</v>
      </c>
      <c r="H20" s="47">
        <f t="shared" si="1"/>
        <v>23000</v>
      </c>
    </row>
    <row r="21" spans="1:8">
      <c r="A21" s="1">
        <v>19</v>
      </c>
      <c r="B21" s="44"/>
      <c r="C21" s="45"/>
      <c r="D21" s="10" t="str">
        <f t="shared" si="0"/>
        <v/>
      </c>
      <c r="F21" s="7" t="s">
        <v>45</v>
      </c>
      <c r="G21" s="46">
        <f>'事業報告書（10月～3月）'!AV27</f>
        <v>5</v>
      </c>
      <c r="H21" s="47">
        <f t="shared" si="1"/>
        <v>23000</v>
      </c>
    </row>
    <row r="22" spans="1:8">
      <c r="A22" s="1">
        <v>20</v>
      </c>
      <c r="B22" s="44"/>
      <c r="C22" s="45"/>
      <c r="D22" s="10" t="str">
        <f t="shared" si="0"/>
        <v/>
      </c>
      <c r="F22" s="7" t="s">
        <v>47</v>
      </c>
      <c r="G22" s="46">
        <f>'事業報告書（10月～3月）'!AX27</f>
        <v>5</v>
      </c>
      <c r="H22" s="47">
        <f t="shared" si="1"/>
        <v>23000</v>
      </c>
    </row>
    <row r="23" spans="1:8">
      <c r="A23" s="14"/>
      <c r="D23" s="11">
        <f>COUNTIF(D3:D22,"〇")</f>
        <v>5</v>
      </c>
      <c r="F23" s="7" t="s">
        <v>49</v>
      </c>
      <c r="G23" s="46">
        <f>'事業報告書（10月～3月）'!AZ27</f>
        <v>5</v>
      </c>
      <c r="H23" s="47">
        <f t="shared" si="1"/>
        <v>23000</v>
      </c>
    </row>
    <row r="24" spans="1:8">
      <c r="D24" s="9"/>
      <c r="G24" s="10" t="s">
        <v>71</v>
      </c>
      <c r="H24" s="47">
        <f>SUM(H12:H23)</f>
        <v>263000</v>
      </c>
    </row>
    <row r="26" spans="1:8" ht="18" customHeight="1">
      <c r="F26" s="18" t="s">
        <v>73</v>
      </c>
      <c r="G26" s="167" t="s">
        <v>168</v>
      </c>
      <c r="H26" s="170"/>
    </row>
    <row r="27" spans="1:8" ht="6.75" customHeight="1"/>
    <row r="28" spans="1:8">
      <c r="F28" s="18" t="s">
        <v>180</v>
      </c>
      <c r="G28" s="166">
        <v>45748</v>
      </c>
      <c r="H28" s="167"/>
    </row>
  </sheetData>
  <sheetProtection algorithmName="SHA-512" hashValue="n54dE6rcb16infU5TKHwCk0mcZ0EuSg2Is2/PyF360v88ah4zqXcyfG945eOVVhVBusFcRduFZZFZFePM1PcBA==" saltValue="majCM2/+v8ogrm6xu+mYrQ==" spinCount="100000" sheet="1" objects="1" scenarios="1"/>
  <mergeCells count="6">
    <mergeCell ref="G28:H28"/>
    <mergeCell ref="F2:F4"/>
    <mergeCell ref="G2:G4"/>
    <mergeCell ref="H2:H4"/>
    <mergeCell ref="G26:H26"/>
    <mergeCell ref="F5:F8"/>
  </mergeCells>
  <phoneticPr fontId="1"/>
  <dataValidations count="1">
    <dataValidation type="list" allowBlank="1" showInputMessage="1" showErrorMessage="1" sqref="C3:C22" xr:uid="{5496753A-5B2E-4DFC-BE55-C4EE56421E77}">
      <formula1>"-,事業対象者,要支援1,要支援2"</formula1>
    </dataValidation>
  </dataValidation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E6B4-1C06-4CCD-8D11-8B20369DD9C8}">
  <dimension ref="A1:Q37"/>
  <sheetViews>
    <sheetView zoomScaleNormal="100" workbookViewId="0">
      <selection activeCell="M8" sqref="M8"/>
    </sheetView>
  </sheetViews>
  <sheetFormatPr defaultRowHeight="18.75"/>
  <cols>
    <col min="1" max="1" width="10" customWidth="1"/>
    <col min="2" max="2" width="10" style="48" customWidth="1"/>
    <col min="3" max="3" width="1.875" style="48" customWidth="1"/>
    <col min="4" max="5" width="10" style="48" customWidth="1"/>
    <col min="6" max="6" width="1.875" style="48" customWidth="1"/>
    <col min="7" max="8" width="10" style="48" customWidth="1"/>
    <col min="9" max="9" width="2" style="48" customWidth="1"/>
    <col min="10" max="11" width="10" style="48" customWidth="1"/>
    <col min="12" max="12" width="9" style="48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138</v>
      </c>
    </row>
    <row r="2" spans="1:17">
      <c r="A2" s="66"/>
      <c r="B2" s="67"/>
      <c r="C2" s="67"/>
      <c r="D2" s="67"/>
      <c r="E2" s="67"/>
      <c r="F2" s="67"/>
      <c r="G2" s="74"/>
      <c r="H2" s="175"/>
      <c r="I2" s="175"/>
      <c r="J2" s="175"/>
      <c r="K2" s="175"/>
    </row>
    <row r="4" spans="1:17">
      <c r="B4" s="177" t="s">
        <v>71</v>
      </c>
      <c r="C4" s="177"/>
      <c r="D4" s="177"/>
      <c r="E4" s="179">
        <f>FLOOR(B8+E8+H8+K8, 1000)</f>
        <v>415000</v>
      </c>
      <c r="F4" s="180"/>
      <c r="G4" s="180"/>
      <c r="H4" s="180"/>
      <c r="I4" s="49"/>
      <c r="J4" s="49"/>
    </row>
    <row r="5" spans="1:17" ht="19.5">
      <c r="B5" s="178"/>
      <c r="C5" s="178"/>
      <c r="D5" s="178"/>
      <c r="E5" s="181"/>
      <c r="F5" s="181"/>
      <c r="G5" s="181"/>
      <c r="H5" s="181"/>
      <c r="I5" s="182" t="s">
        <v>72</v>
      </c>
      <c r="J5" s="182"/>
    </row>
    <row r="6" spans="1:17">
      <c r="M6" s="132" t="s">
        <v>201</v>
      </c>
      <c r="N6" s="133"/>
      <c r="O6" s="134"/>
      <c r="P6" s="133"/>
    </row>
    <row r="7" spans="1:17">
      <c r="A7" t="s">
        <v>5</v>
      </c>
      <c r="D7" s="48" t="s">
        <v>6</v>
      </c>
      <c r="G7" s="48" t="s">
        <v>7</v>
      </c>
      <c r="J7" s="48" t="s">
        <v>8</v>
      </c>
      <c r="M7" s="172" t="s">
        <v>202</v>
      </c>
      <c r="N7" s="173"/>
      <c r="O7" s="173"/>
      <c r="P7" s="173"/>
      <c r="Q7" s="174"/>
    </row>
    <row r="8" spans="1:17" ht="30.75" customHeight="1">
      <c r="A8" s="17" t="s">
        <v>71</v>
      </c>
      <c r="B8" s="51">
        <f>利用者名簿!H24</f>
        <v>263000</v>
      </c>
      <c r="D8" s="50" t="s">
        <v>71</v>
      </c>
      <c r="E8" s="51">
        <f>MIN(E26, E11)</f>
        <v>15000</v>
      </c>
      <c r="G8" s="50" t="s">
        <v>71</v>
      </c>
      <c r="H8" s="51">
        <f>MIN(H26, H11)</f>
        <v>87984</v>
      </c>
      <c r="J8" s="50" t="s">
        <v>71</v>
      </c>
      <c r="K8" s="51">
        <f>MIN(K26, K11)</f>
        <v>50000</v>
      </c>
      <c r="M8" s="138">
        <v>2025</v>
      </c>
      <c r="N8" s="135" t="s">
        <v>199</v>
      </c>
      <c r="O8" s="136" t="s">
        <v>190</v>
      </c>
      <c r="P8" s="139">
        <v>2026</v>
      </c>
      <c r="Q8" s="137" t="s">
        <v>200</v>
      </c>
    </row>
    <row r="10" spans="1:17">
      <c r="A10" s="172" t="s">
        <v>33</v>
      </c>
      <c r="B10" s="174"/>
      <c r="D10" s="183" t="s">
        <v>33</v>
      </c>
      <c r="E10" s="184"/>
      <c r="G10" s="183" t="s">
        <v>33</v>
      </c>
      <c r="H10" s="184"/>
      <c r="J10" s="183" t="s">
        <v>33</v>
      </c>
      <c r="K10" s="184"/>
    </row>
    <row r="11" spans="1:17" ht="19.5" customHeight="1">
      <c r="A11" s="1" t="s">
        <v>55</v>
      </c>
      <c r="B11" s="10" t="s">
        <v>56</v>
      </c>
      <c r="D11" s="10" t="s">
        <v>54</v>
      </c>
      <c r="E11" s="47">
        <v>36000</v>
      </c>
      <c r="G11" s="10" t="s">
        <v>54</v>
      </c>
      <c r="H11" s="47">
        <v>300000</v>
      </c>
      <c r="J11" s="54" t="s">
        <v>102</v>
      </c>
      <c r="K11" s="47">
        <v>50000</v>
      </c>
    </row>
    <row r="13" spans="1:17" ht="22.5" customHeight="1">
      <c r="A13" s="6" t="s">
        <v>5</v>
      </c>
      <c r="B13" s="52" t="s">
        <v>51</v>
      </c>
      <c r="C13" s="53"/>
      <c r="D13" s="54" t="s">
        <v>6</v>
      </c>
      <c r="E13" s="55" t="s">
        <v>51</v>
      </c>
      <c r="F13" s="56"/>
      <c r="G13" s="54" t="s">
        <v>7</v>
      </c>
      <c r="H13" s="55" t="s">
        <v>52</v>
      </c>
      <c r="I13" s="56"/>
      <c r="J13" s="54" t="s">
        <v>8</v>
      </c>
      <c r="K13" s="55" t="s">
        <v>52</v>
      </c>
    </row>
    <row r="14" spans="1:17" ht="22.5" customHeight="1">
      <c r="A14" s="4" t="s">
        <v>35</v>
      </c>
      <c r="B14" s="47">
        <f>SUMIFS(支出明細!E:E,支出明細!C:C, "運営費", 支出明細!B:B, "&gt;=" &amp; DATE(M8, 4, 1), 支出明細!B:B, "&lt;=" &amp; DATE(M8, 4, 30))</f>
        <v>36600</v>
      </c>
      <c r="C14" s="57"/>
      <c r="D14" s="10" t="s">
        <v>35</v>
      </c>
      <c r="E14" s="47">
        <f>SUMIFS(支出明細!E:E,支出明細!C:C, "特定研修費", 支出明細!B:B, "&gt;=" &amp; DATE(M8, 4, 1), 支出明細!B:B, "&lt;=" &amp; DATE(M8, 4, 30))</f>
        <v>0</v>
      </c>
      <c r="F14" s="57"/>
      <c r="G14" s="10" t="s">
        <v>35</v>
      </c>
      <c r="H14" s="47">
        <f>SUMIFS(支出明細!E:E,支出明細!C:C, "送迎活動費", 支出明細!B:B, "&gt;=" &amp; DATE(M8, 4, 1), 支出明細!B:B, "&lt;=" &amp; DATE(M8, 4, 30))</f>
        <v>3456</v>
      </c>
      <c r="I14" s="57"/>
      <c r="J14" s="10" t="s">
        <v>35</v>
      </c>
      <c r="K14" s="47">
        <f>SUMIFS(支出明細!E:E,支出明細!C:C, "設立・更新費", 支出明細!B:B, "&gt;=" &amp; DATE(M8, 4, 1), 支出明細!B:B, "&lt;=" &amp; DATE(M8, 4, 30))</f>
        <v>50000</v>
      </c>
    </row>
    <row r="15" spans="1:17" ht="22.5" customHeight="1">
      <c r="A15" s="4" t="s">
        <v>36</v>
      </c>
      <c r="B15" s="47">
        <f>SUMIFS(支出明細!E:E,支出明細!C:C, "運営費", 支出明細!B:B, "&gt;=" &amp; DATE(M8, 5, 1), 支出明細!B:B, "&lt;=" &amp; DATE(M8, 5, 31))</f>
        <v>19400</v>
      </c>
      <c r="C15" s="57"/>
      <c r="D15" s="10" t="s">
        <v>36</v>
      </c>
      <c r="E15" s="47">
        <f>SUMIFS(支出明細!E:E,支出明細!C:C, "特定研修費", 支出明細!B:B, "&gt;=" &amp; DATE(M8, 5, 1), 支出明細!B:B, "&lt;=" &amp; DATE(M8, 5, 31))</f>
        <v>0</v>
      </c>
      <c r="F15" s="57"/>
      <c r="G15" s="10" t="s">
        <v>36</v>
      </c>
      <c r="H15" s="47">
        <f>SUMIFS(支出明細!E:E,支出明細!C:C, "送迎活動費", 支出明細!B:B, "&gt;=" &amp; DATE(M8, 5, 1), 支出明細!B:B, "&lt;=" &amp; DATE(M8, 5, 31))</f>
        <v>3456</v>
      </c>
      <c r="I15" s="57"/>
      <c r="J15" s="10" t="s">
        <v>36</v>
      </c>
      <c r="K15" s="47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37</v>
      </c>
      <c r="B16" s="47">
        <f>SUMIFS(支出明細!E:E,支出明細!C:C, "運営費", 支出明細!B:B, "&gt;=" &amp; DATE(M8, 6, 1), 支出明細!B:B, "&lt;=" &amp; DATE(M8, 6, 30))</f>
        <v>19400</v>
      </c>
      <c r="C16" s="57"/>
      <c r="D16" s="10" t="s">
        <v>37</v>
      </c>
      <c r="E16" s="47">
        <f>SUMIFS(支出明細!E:E,支出明細!C:C, "特定研修費", 支出明細!B:B, "&gt;=" &amp; DATE(M8, 6, 1), 支出明細!B:B, "&lt;=" &amp; DATE(M8, 6, 30))</f>
        <v>0</v>
      </c>
      <c r="F16" s="57"/>
      <c r="G16" s="10" t="s">
        <v>37</v>
      </c>
      <c r="H16" s="47">
        <f>SUMIFS(支出明細!E:E,支出明細!C:C, "送迎活動費", 支出明細!B:B, "&gt;=" &amp; DATE(M8, 6, 1), 支出明細!B:B, "&lt;=" &amp; DATE(M8, 6, 30))</f>
        <v>3456</v>
      </c>
      <c r="I16" s="57"/>
      <c r="J16" s="10" t="s">
        <v>37</v>
      </c>
      <c r="K16" s="47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38</v>
      </c>
      <c r="B17" s="47">
        <f>SUMIFS(支出明細!E:E,支出明細!C:C, "運営費", 支出明細!B:B, "&gt;=" &amp; DATE(M8, 7, 1), 支出明細!B:B, "&lt;=" &amp; DATE(M8, 7, 31))</f>
        <v>19400</v>
      </c>
      <c r="C17" s="57"/>
      <c r="D17" s="10" t="s">
        <v>38</v>
      </c>
      <c r="E17" s="47">
        <f>SUMIFS(支出明細!E:E,支出明細!C:C, "特定研修費", 支出明細!B:B, "&gt;=" &amp; DATE(M8, 7, 1), 支出明細!B:B, "&lt;=" &amp; DATE(M8, 7, 31))</f>
        <v>15000</v>
      </c>
      <c r="F17" s="57"/>
      <c r="G17" s="10" t="s">
        <v>38</v>
      </c>
      <c r="H17" s="47">
        <f>SUMIFS(支出明細!E:E,支出明細!C:C, "送迎活動費", 支出明細!B:B, "&gt;=" &amp; DATE(M8, 7, 1), 支出明細!B:B, "&lt;=" &amp; DATE(M8, 7, 31))</f>
        <v>3456</v>
      </c>
      <c r="I17" s="57"/>
      <c r="J17" s="10" t="s">
        <v>38</v>
      </c>
      <c r="K17" s="47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39</v>
      </c>
      <c r="B18" s="47">
        <f>SUMIFS(支出明細!E:E,支出明細!C:C, "運営費", 支出明細!B:B, "&gt;=" &amp; DATE(M8, 8, 1), 支出明細!B:B, "&lt;=" &amp; DATE(M8, 8, 31))</f>
        <v>19400</v>
      </c>
      <c r="C18" s="57"/>
      <c r="D18" s="10" t="s">
        <v>39</v>
      </c>
      <c r="E18" s="47">
        <f>SUMIFS(支出明細!E:E,支出明細!C:C, "特定研修費", 支出明細!B:B, "&gt;=" &amp; DATE(M8, 8, 1), 支出明細!B:B, "&lt;=" &amp; DATE(M8, 8, 31))</f>
        <v>0</v>
      </c>
      <c r="F18" s="57"/>
      <c r="G18" s="10" t="s">
        <v>39</v>
      </c>
      <c r="H18" s="47">
        <f>SUMIFS(支出明細!E:E,支出明細!C:C, "送迎活動費", 支出明細!B:B, "&gt;=" &amp; DATE(M8, 8, 1), 支出明細!B:B, "&lt;=" &amp; DATE(M8, 8, 31))</f>
        <v>3456</v>
      </c>
      <c r="I18" s="57"/>
      <c r="J18" s="10" t="s">
        <v>39</v>
      </c>
      <c r="K18" s="47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40</v>
      </c>
      <c r="B19" s="47">
        <f>SUMIFS(支出明細!E:E,支出明細!C:C, "運営費", 支出明細!B:B, "&gt;=" &amp; DATE(M8, 9, 1), 支出明細!B:B, "&lt;=" &amp; DATE(M8, 9, 30))</f>
        <v>19400</v>
      </c>
      <c r="C19" s="57"/>
      <c r="D19" s="10" t="s">
        <v>40</v>
      </c>
      <c r="E19" s="47">
        <f>SUMIFS(支出明細!E:E,支出明細!C:C, "特定研修費", 支出明細!B:B, "&gt;=" &amp; DATE(M8, 9, 1), 支出明細!B:B, "&lt;=" &amp; DATE(M8, 9, 30))</f>
        <v>0</v>
      </c>
      <c r="F19" s="57"/>
      <c r="G19" s="10" t="s">
        <v>40</v>
      </c>
      <c r="H19" s="47">
        <f>SUMIFS(支出明細!E:E,支出明細!C:C, "送迎活動費", 支出明細!B:B, "&gt;=" &amp; DATE(M8, 9, 1), 支出明細!B:B, "&lt;=" &amp; DATE(M8, 9, 30))</f>
        <v>49968</v>
      </c>
      <c r="I19" s="57"/>
      <c r="J19" s="10" t="s">
        <v>40</v>
      </c>
      <c r="K19" s="47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41</v>
      </c>
      <c r="B20" s="47">
        <f>SUMIFS(支出明細!E:E,支出明細!C:C, "運営費", 支出明細!B:B, "&gt;=" &amp; DATE(M8, 10, 1), 支出明細!B:B, "&lt;=" &amp; DATE(M8, 10, 31))</f>
        <v>32400</v>
      </c>
      <c r="C20" s="57"/>
      <c r="D20" s="10" t="s">
        <v>41</v>
      </c>
      <c r="E20" s="47">
        <f>SUMIFS(支出明細!E:E,支出明細!C:C, "特定研修費", 支出明細!B:B, "&gt;=" &amp; DATE(M8, 10, 1), 支出明細!B:B, "&lt;=" &amp; DATE(M8, 10, 31))</f>
        <v>0</v>
      </c>
      <c r="F20" s="57"/>
      <c r="G20" s="10" t="s">
        <v>41</v>
      </c>
      <c r="H20" s="47">
        <f>SUMIFS(支出明細!E:E,支出明細!C:C, "送迎活動費", 支出明細!B:B, "&gt;=" &amp; DATE(M8, 10, 1), 支出明細!B:B, "&lt;=" &amp; DATE(M8, 10, 31))</f>
        <v>3456</v>
      </c>
      <c r="I20" s="57"/>
      <c r="J20" s="10" t="s">
        <v>41</v>
      </c>
      <c r="K20" s="47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42</v>
      </c>
      <c r="B21" s="47">
        <f>SUMIFS(支出明細!E:E,支出明細!C:C, "運営費", 支出明細!B:B, "&gt;=" &amp; DATE(M8, 11, 1), 支出明細!B:B, "&lt;=" &amp; DATE(M8, 11, 30))</f>
        <v>19400</v>
      </c>
      <c r="C21" s="57"/>
      <c r="D21" s="10" t="s">
        <v>42</v>
      </c>
      <c r="E21" s="47">
        <f>SUMIFS(支出明細!E:E,支出明細!C:C, "特定研修費", 支出明細!B:B, "&gt;=" &amp; DATE(M8, 11, 1), 支出明細!B:B, "&lt;=" &amp; DATE(M8, 11, 30))</f>
        <v>0</v>
      </c>
      <c r="F21" s="57"/>
      <c r="G21" s="10" t="s">
        <v>42</v>
      </c>
      <c r="H21" s="47">
        <f>SUMIFS(支出明細!E:E,支出明細!C:C, "送迎活動費", 支出明細!B:B, "&gt;=" &amp; DATE(M8, 11, 1), 支出明細!B:B, "&lt;=" &amp; DATE(M8, 11, 30))</f>
        <v>3456</v>
      </c>
      <c r="I21" s="57"/>
      <c r="J21" s="10" t="s">
        <v>42</v>
      </c>
      <c r="K21" s="47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43</v>
      </c>
      <c r="B22" s="47">
        <f>SUMIFS(支出明細!E:E,支出明細!C:C, "運営費", 支出明細!B:B, "&gt;=" &amp; DATE(M8, 12, 1), 支出明細!B:B, "&lt;=" &amp; DATE(M8, 12, 31))</f>
        <v>19400</v>
      </c>
      <c r="C22" s="57"/>
      <c r="D22" s="10" t="s">
        <v>43</v>
      </c>
      <c r="E22" s="47">
        <f>SUMIFS(支出明細!E:E,支出明細!C:C, "特定研修費", 支出明細!B:B, "&gt;=" &amp; DATE(M8, 12, 1), 支出明細!B:B, "&lt;=" &amp; DATE(M8, 12, 31))</f>
        <v>0</v>
      </c>
      <c r="F22" s="57"/>
      <c r="G22" s="10" t="s">
        <v>43</v>
      </c>
      <c r="H22" s="47">
        <f>SUMIFS(支出明細!E:E,支出明細!C:C, "送迎活動費", 支出明細!B:B, "&gt;=" &amp; DATE(M8, 12, 1), 支出明細!B:B, "&lt;=" &amp; DATE(M8, 12, 31))</f>
        <v>3456</v>
      </c>
      <c r="I22" s="57"/>
      <c r="J22" s="10" t="s">
        <v>43</v>
      </c>
      <c r="K22" s="47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44</v>
      </c>
      <c r="B23" s="47">
        <f>SUMIFS(支出明細!E:E,支出明細!C:C, "運営費", 支出明細!B:B, "&gt;=" &amp; DATE(P8, 1, 1), 支出明細!B:B, "&lt;=" &amp; DATE(P8, 1, 31))</f>
        <v>19400</v>
      </c>
      <c r="C23" s="57"/>
      <c r="D23" s="10" t="s">
        <v>44</v>
      </c>
      <c r="E23" s="47">
        <f>SUMIFS(支出明細!E:E,支出明細!C:C, "特定研修費", 支出明細!B:B, "&gt;=" &amp; DATE(P8, 1, 1), 支出明細!B:B, "&lt;=" &amp; DATE(P8, 1, 31))</f>
        <v>0</v>
      </c>
      <c r="F23" s="57"/>
      <c r="G23" s="10" t="s">
        <v>44</v>
      </c>
      <c r="H23" s="47">
        <f>SUMIFS(支出明細!E:E,支出明細!C:C, "送迎活動費", 支出明細!B:B, "&gt;=" &amp; DATE(P8, 1, 1), 支出明細!B:B, "&lt;=" &amp; DATE(P8, 1, 31))</f>
        <v>3456</v>
      </c>
      <c r="I23" s="57"/>
      <c r="J23" s="10" t="s">
        <v>44</v>
      </c>
      <c r="K23" s="47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46</v>
      </c>
      <c r="B24" s="47">
        <f>SUMIFS(支出明細!E:E,支出明細!C:C, "運営費", 支出明細!B:B, "&gt;=" &amp; DATE(P8, 2, 1), 支出明細!B:B, "&lt;=" &amp; DATE(P8, 2, 29))</f>
        <v>19400</v>
      </c>
      <c r="C24" s="57"/>
      <c r="D24" s="10" t="s">
        <v>46</v>
      </c>
      <c r="E24" s="47">
        <f>SUMIFS(支出明細!E:E,支出明細!C:C, "特定研修費", 支出明細!B:B, "&gt;=" &amp; DATE(P8, 2, 1), 支出明細!B:B, "&lt;=" &amp; DATE(P8, 2, 29))</f>
        <v>0</v>
      </c>
      <c r="F24" s="57"/>
      <c r="G24" s="10" t="s">
        <v>46</v>
      </c>
      <c r="H24" s="47">
        <f>SUMIFS(支出明細!E:E,支出明細!C:C, "送迎活動費", 支出明細!B:B, "&gt;=" &amp; DATE(P8, 2, 1), 支出明細!B:B, "&lt;=" &amp; DATE(P8, 2, 29))</f>
        <v>3456</v>
      </c>
      <c r="I24" s="57"/>
      <c r="J24" s="10" t="s">
        <v>46</v>
      </c>
      <c r="K24" s="47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48</v>
      </c>
      <c r="B25" s="47">
        <f>SUMIFS(支出明細!E:E,支出明細!C:C, "運営費", 支出明細!B:B, "&gt;=" &amp; DATE(P8, 3, 1), 支出明細!B:B, "&lt;=" &amp; DATE(P8, 3, 31))</f>
        <v>19400</v>
      </c>
      <c r="C25" s="57"/>
      <c r="D25" s="10" t="s">
        <v>48</v>
      </c>
      <c r="E25" s="47">
        <f>SUMIFS(支出明細!E:E,支出明細!C:C, "特定研修費", 支出明細!B:B, "&gt;=" &amp; DATE(P8, 3, 1), 支出明細!B:B, "&lt;=" &amp; DATE(P8, 3, 31))</f>
        <v>0</v>
      </c>
      <c r="F25" s="57"/>
      <c r="G25" s="10" t="s">
        <v>48</v>
      </c>
      <c r="H25" s="47">
        <f>SUMIFS(支出明細!E:E,支出明細!C:C, "送迎活動費", 支出明細!B:B, "&gt;=" &amp; DATE(P8, 3, 1), 支出明細!B:B, "&lt;=" &amp; DATE(P8, 3, 31))</f>
        <v>3456</v>
      </c>
      <c r="I25" s="57"/>
      <c r="J25" s="10" t="s">
        <v>48</v>
      </c>
      <c r="K25" s="47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53</v>
      </c>
      <c r="B26" s="47">
        <f>SUM(B14:B25)</f>
        <v>263000</v>
      </c>
      <c r="D26" s="10" t="s">
        <v>53</v>
      </c>
      <c r="E26" s="47">
        <f>SUM(E14:E25)</f>
        <v>15000</v>
      </c>
      <c r="G26" s="10" t="s">
        <v>53</v>
      </c>
      <c r="H26" s="47">
        <f>SUM(H14:H25)</f>
        <v>87984</v>
      </c>
      <c r="J26" s="10" t="s">
        <v>53</v>
      </c>
      <c r="K26" s="47">
        <f>SUM(K14:K25)</f>
        <v>50000</v>
      </c>
    </row>
    <row r="27" spans="1:11" ht="12" customHeight="1">
      <c r="A27" s="11"/>
      <c r="B27" s="58"/>
      <c r="D27" s="9"/>
      <c r="E27" s="58"/>
      <c r="G27" s="9"/>
      <c r="H27" s="58"/>
      <c r="J27" s="9"/>
      <c r="K27" s="58"/>
    </row>
    <row r="28" spans="1:11" ht="22.5" customHeight="1">
      <c r="A28" s="10" t="s">
        <v>65</v>
      </c>
      <c r="B28" s="10" t="s">
        <v>53</v>
      </c>
      <c r="G28" s="10" t="s">
        <v>65</v>
      </c>
      <c r="H28" s="10" t="s">
        <v>53</v>
      </c>
      <c r="J28" s="10" t="s">
        <v>65</v>
      </c>
      <c r="K28" s="10" t="s">
        <v>53</v>
      </c>
    </row>
    <row r="29" spans="1:11" ht="22.5" customHeight="1">
      <c r="A29" s="4" t="s">
        <v>57</v>
      </c>
      <c r="B29" s="47">
        <f>SUMIFS(支出明細!E:E,支出明細!D:D, "運営費(人件費）")</f>
        <v>72000</v>
      </c>
      <c r="G29" s="10" t="s">
        <v>66</v>
      </c>
      <c r="H29" s="47">
        <f>SUMIFS(支出明細!E:E,支出明細!D:D, "送迎活動費(車両賃借料)")</f>
        <v>24000</v>
      </c>
      <c r="J29" s="10" t="s">
        <v>137</v>
      </c>
      <c r="K29" s="47">
        <f>SUMIFS(支出明細!E:E,支出明細!D:D, "設立・更新費(施設修繕費）")</f>
        <v>0</v>
      </c>
    </row>
    <row r="30" spans="1:11" ht="22.5" customHeight="1">
      <c r="A30" s="4" t="s">
        <v>58</v>
      </c>
      <c r="B30" s="47">
        <f>SUMIFS(支出明細!E:E,支出明細!D:D, "運営費(通信費）")</f>
        <v>36000</v>
      </c>
      <c r="G30" s="10" t="s">
        <v>67</v>
      </c>
      <c r="H30" s="47">
        <f>SUMIFS(支出明細!E:E,支出明細!D:D, "送迎活動費(燃料費）")</f>
        <v>17472</v>
      </c>
      <c r="J30" s="10" t="s">
        <v>69</v>
      </c>
      <c r="K30" s="47">
        <f>SUMIFS(支出明細!E:E,支出明細!D:D, "設立・更新費(備品購入費）")</f>
        <v>50000</v>
      </c>
    </row>
    <row r="31" spans="1:11" ht="22.5" customHeight="1">
      <c r="A31" s="4" t="s">
        <v>60</v>
      </c>
      <c r="B31" s="47">
        <f>SUMIFS(支出明細!E:E,支出明細!D:D, "運営費(保険料）")</f>
        <v>24000</v>
      </c>
      <c r="G31" s="10" t="s">
        <v>59</v>
      </c>
      <c r="H31" s="47">
        <f>SUMIFS(支出明細!E:E,支出明細!D:D, "送迎活動費(移動支援サービス専用自動車保険料）")</f>
        <v>0</v>
      </c>
      <c r="J31" s="10" t="s">
        <v>70</v>
      </c>
      <c r="K31" s="47">
        <f>SUMIFS(支出明細!E:E,支出明細!D:D, "設立・更新費(被服費）")</f>
        <v>0</v>
      </c>
    </row>
    <row r="32" spans="1:11" ht="22.5" customHeight="1">
      <c r="A32" s="4" t="s">
        <v>61</v>
      </c>
      <c r="B32" s="47">
        <f>SUMIFS(支出明細!E:E,支出明細!D:D, "運営費(消耗品費）")</f>
        <v>30200</v>
      </c>
      <c r="G32" s="10" t="s">
        <v>68</v>
      </c>
      <c r="H32" s="47">
        <f>SUMIFS(支出明細!E:E,支出明細!D:D, "送迎活動費(修理費）")</f>
        <v>46512</v>
      </c>
      <c r="J32" s="10" t="s">
        <v>63</v>
      </c>
      <c r="K32" s="47">
        <f>SUMIFS(支出明細!E:E,支出明細!D:D, "設立・更新費(その他)")</f>
        <v>0</v>
      </c>
    </row>
    <row r="33" spans="1:11">
      <c r="A33" s="4" t="s">
        <v>62</v>
      </c>
      <c r="B33" s="47">
        <f>SUMIFS(支出明細!E:E,支出明細!D:D, "運営費(印刷費）")</f>
        <v>0</v>
      </c>
      <c r="G33" s="10" t="s">
        <v>64</v>
      </c>
      <c r="H33" s="47">
        <f>SUMIFS(支出明細!E:E,支出明細!D:D, "送迎活動費(その他）")</f>
        <v>0</v>
      </c>
    </row>
    <row r="34" spans="1:11">
      <c r="A34" s="4" t="s">
        <v>90</v>
      </c>
      <c r="B34" s="47">
        <f>SUMIFS(支出明細!E:E,支出明細!D:D, "運営費(研修受講料）")</f>
        <v>0</v>
      </c>
    </row>
    <row r="35" spans="1:11">
      <c r="A35" s="4" t="s">
        <v>91</v>
      </c>
      <c r="B35" s="47">
        <f>SUMIFS(支出明細!E:E,支出明細!D:D, "運営費(賃借料）")</f>
        <v>100800</v>
      </c>
    </row>
    <row r="36" spans="1:11">
      <c r="A36" s="4" t="s">
        <v>92</v>
      </c>
      <c r="B36" s="47">
        <f>SUMIFS(支出明細!E:E,支出明細!D:D, "運営費(水道光熱費）")</f>
        <v>0</v>
      </c>
    </row>
    <row r="37" spans="1:11">
      <c r="A37" s="4" t="s">
        <v>64</v>
      </c>
      <c r="B37" s="47">
        <f>SUMIFS(支出明細!E:E,支出明細!D:D, "運営費(その他）")</f>
        <v>0</v>
      </c>
      <c r="G37" s="59" t="s">
        <v>73</v>
      </c>
      <c r="H37" s="176" t="str">
        <f>利用者名簿!G26</f>
        <v>●●●会</v>
      </c>
      <c r="I37" s="176"/>
      <c r="J37" s="176"/>
      <c r="K37" s="176"/>
    </row>
  </sheetData>
  <sheetProtection algorithmName="SHA-512" hashValue="nQYeeSuULeqTIVcXuDrnRODUE7hTI8jY0dll2Ww9RlZQUY/DhoGZGEG2iTdKnuxhZVXR7FkV06sJOdSowFKxrw==" saltValue="SSdNC3KkjLkZqc9gEI7gzg==" spinCount="100000" sheet="1" objects="1" scenarios="1"/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9FD3-FF21-4262-941A-E8619B56749D}">
  <dimension ref="A1:E115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139</v>
      </c>
      <c r="E1" s="41" t="str">
        <f>利用者名簿!G26</f>
        <v>●●●会</v>
      </c>
    </row>
    <row r="2" spans="1:5" ht="19.5" customHeight="1">
      <c r="A2" t="s">
        <v>103</v>
      </c>
      <c r="E2" s="8" t="s">
        <v>24</v>
      </c>
    </row>
    <row r="3" spans="1:5" ht="27.75" customHeight="1">
      <c r="A3" s="43"/>
      <c r="B3" s="42" t="s">
        <v>1</v>
      </c>
      <c r="C3" s="42" t="s">
        <v>2</v>
      </c>
      <c r="D3" s="42" t="s">
        <v>3</v>
      </c>
      <c r="E3" s="42" t="s">
        <v>4</v>
      </c>
    </row>
    <row r="4" spans="1:5" ht="27.75" customHeight="1">
      <c r="A4" s="1">
        <v>1</v>
      </c>
      <c r="B4" s="108">
        <v>45749</v>
      </c>
      <c r="C4" s="109" t="s">
        <v>8</v>
      </c>
      <c r="D4" s="110" t="s">
        <v>21</v>
      </c>
      <c r="E4" s="111">
        <v>50000</v>
      </c>
    </row>
    <row r="5" spans="1:5" ht="27.75" customHeight="1">
      <c r="A5" s="1">
        <v>2</v>
      </c>
      <c r="B5" s="108">
        <v>45752</v>
      </c>
      <c r="C5" s="109" t="s">
        <v>5</v>
      </c>
      <c r="D5" s="110" t="s">
        <v>12</v>
      </c>
      <c r="E5" s="112">
        <v>17200</v>
      </c>
    </row>
    <row r="6" spans="1:5" ht="27.75" customHeight="1">
      <c r="A6" s="1">
        <v>3</v>
      </c>
      <c r="B6" s="108">
        <v>45777</v>
      </c>
      <c r="C6" s="109" t="s">
        <v>5</v>
      </c>
      <c r="D6" s="110" t="s">
        <v>10</v>
      </c>
      <c r="E6" s="112">
        <v>6000</v>
      </c>
    </row>
    <row r="7" spans="1:5" ht="27.75" customHeight="1">
      <c r="A7" s="1">
        <v>4</v>
      </c>
      <c r="B7" s="108">
        <v>45777</v>
      </c>
      <c r="C7" s="109" t="s">
        <v>5</v>
      </c>
      <c r="D7" s="110" t="s">
        <v>9</v>
      </c>
      <c r="E7" s="112">
        <v>3000</v>
      </c>
    </row>
    <row r="8" spans="1:5" ht="27.75" customHeight="1">
      <c r="A8" s="1">
        <v>5</v>
      </c>
      <c r="B8" s="108">
        <v>45777</v>
      </c>
      <c r="C8" s="109" t="s">
        <v>5</v>
      </c>
      <c r="D8" s="110" t="s">
        <v>11</v>
      </c>
      <c r="E8" s="112">
        <v>2000</v>
      </c>
    </row>
    <row r="9" spans="1:5" ht="27.75" customHeight="1">
      <c r="A9" s="1">
        <v>6</v>
      </c>
      <c r="B9" s="108">
        <v>45777</v>
      </c>
      <c r="C9" s="109" t="s">
        <v>5</v>
      </c>
      <c r="D9" s="110" t="s">
        <v>135</v>
      </c>
      <c r="E9" s="112">
        <v>8400</v>
      </c>
    </row>
    <row r="10" spans="1:5" ht="27.75" customHeight="1">
      <c r="A10" s="1">
        <v>7</v>
      </c>
      <c r="B10" s="108">
        <v>45777</v>
      </c>
      <c r="C10" s="109" t="s">
        <v>7</v>
      </c>
      <c r="D10" s="110" t="s">
        <v>16</v>
      </c>
      <c r="E10" s="112">
        <v>2000</v>
      </c>
    </row>
    <row r="11" spans="1:5" ht="27.75" customHeight="1">
      <c r="A11" s="1">
        <v>8</v>
      </c>
      <c r="B11" s="108">
        <v>45777</v>
      </c>
      <c r="C11" s="109" t="s">
        <v>7</v>
      </c>
      <c r="D11" s="110" t="s">
        <v>17</v>
      </c>
      <c r="E11" s="112">
        <v>1456</v>
      </c>
    </row>
    <row r="12" spans="1:5" ht="27.75" customHeight="1">
      <c r="A12" s="1">
        <v>9</v>
      </c>
      <c r="B12" s="108">
        <v>45808</v>
      </c>
      <c r="C12" s="109" t="s">
        <v>5</v>
      </c>
      <c r="D12" s="110" t="s">
        <v>10</v>
      </c>
      <c r="E12" s="112">
        <v>6000</v>
      </c>
    </row>
    <row r="13" spans="1:5" ht="27.75" customHeight="1">
      <c r="A13" s="1">
        <v>10</v>
      </c>
      <c r="B13" s="108">
        <v>45808</v>
      </c>
      <c r="C13" s="109" t="s">
        <v>5</v>
      </c>
      <c r="D13" s="110" t="s">
        <v>9</v>
      </c>
      <c r="E13" s="112">
        <v>3000</v>
      </c>
    </row>
    <row r="14" spans="1:5" ht="27.75" customHeight="1">
      <c r="A14" s="1">
        <v>11</v>
      </c>
      <c r="B14" s="108">
        <v>45808</v>
      </c>
      <c r="C14" s="109" t="s">
        <v>5</v>
      </c>
      <c r="D14" s="110" t="s">
        <v>11</v>
      </c>
      <c r="E14" s="112">
        <v>2000</v>
      </c>
    </row>
    <row r="15" spans="1:5" ht="27.75" customHeight="1">
      <c r="A15" s="1">
        <v>12</v>
      </c>
      <c r="B15" s="108">
        <v>45808</v>
      </c>
      <c r="C15" s="109" t="s">
        <v>5</v>
      </c>
      <c r="D15" s="110" t="s">
        <v>135</v>
      </c>
      <c r="E15" s="112">
        <v>8400</v>
      </c>
    </row>
    <row r="16" spans="1:5" ht="27.75" customHeight="1">
      <c r="A16" s="1">
        <v>13</v>
      </c>
      <c r="B16" s="108">
        <v>45808</v>
      </c>
      <c r="C16" s="109" t="s">
        <v>7</v>
      </c>
      <c r="D16" s="110" t="s">
        <v>16</v>
      </c>
      <c r="E16" s="112">
        <v>2000</v>
      </c>
    </row>
    <row r="17" spans="1:5" ht="27.75" customHeight="1">
      <c r="A17" s="1">
        <v>14</v>
      </c>
      <c r="B17" s="108">
        <v>45808</v>
      </c>
      <c r="C17" s="109" t="s">
        <v>7</v>
      </c>
      <c r="D17" s="110" t="s">
        <v>17</v>
      </c>
      <c r="E17" s="112">
        <v>1456</v>
      </c>
    </row>
    <row r="18" spans="1:5" ht="27.75" customHeight="1">
      <c r="A18" s="1">
        <v>15</v>
      </c>
      <c r="B18" s="108">
        <v>45838</v>
      </c>
      <c r="C18" s="109" t="s">
        <v>5</v>
      </c>
      <c r="D18" s="110" t="s">
        <v>10</v>
      </c>
      <c r="E18" s="112">
        <v>6000</v>
      </c>
    </row>
    <row r="19" spans="1:5" ht="27.75" customHeight="1">
      <c r="A19" s="1">
        <v>16</v>
      </c>
      <c r="B19" s="108">
        <v>45838</v>
      </c>
      <c r="C19" s="109" t="s">
        <v>5</v>
      </c>
      <c r="D19" s="110" t="s">
        <v>9</v>
      </c>
      <c r="E19" s="112">
        <v>3000</v>
      </c>
    </row>
    <row r="20" spans="1:5" ht="27.75" customHeight="1">
      <c r="A20" s="1">
        <v>17</v>
      </c>
      <c r="B20" s="108">
        <v>45838</v>
      </c>
      <c r="C20" s="109" t="s">
        <v>5</v>
      </c>
      <c r="D20" s="110" t="s">
        <v>11</v>
      </c>
      <c r="E20" s="112">
        <v>2000</v>
      </c>
    </row>
    <row r="21" spans="1:5" ht="27.75" customHeight="1">
      <c r="A21" s="1">
        <v>18</v>
      </c>
      <c r="B21" s="108">
        <v>45838</v>
      </c>
      <c r="C21" s="109" t="s">
        <v>5</v>
      </c>
      <c r="D21" s="110" t="s">
        <v>135</v>
      </c>
      <c r="E21" s="112">
        <v>8400</v>
      </c>
    </row>
    <row r="22" spans="1:5" ht="27.75" customHeight="1">
      <c r="A22" s="1">
        <v>19</v>
      </c>
      <c r="B22" s="108">
        <v>45838</v>
      </c>
      <c r="C22" s="109" t="s">
        <v>7</v>
      </c>
      <c r="D22" s="110" t="s">
        <v>16</v>
      </c>
      <c r="E22" s="112">
        <v>2000</v>
      </c>
    </row>
    <row r="23" spans="1:5" ht="27.75" customHeight="1">
      <c r="A23" s="1">
        <v>20</v>
      </c>
      <c r="B23" s="108">
        <v>45838</v>
      </c>
      <c r="C23" s="109" t="s">
        <v>7</v>
      </c>
      <c r="D23" s="110" t="s">
        <v>17</v>
      </c>
      <c r="E23" s="112">
        <v>1456</v>
      </c>
    </row>
    <row r="24" spans="1:5" ht="27.75" customHeight="1">
      <c r="A24" s="1">
        <v>21</v>
      </c>
      <c r="B24" s="108">
        <v>45857</v>
      </c>
      <c r="C24" s="109" t="s">
        <v>6</v>
      </c>
      <c r="D24" s="110" t="s">
        <v>15</v>
      </c>
      <c r="E24" s="112">
        <v>15000</v>
      </c>
    </row>
    <row r="25" spans="1:5" ht="27.75" customHeight="1">
      <c r="A25" s="1">
        <v>22</v>
      </c>
      <c r="B25" s="108">
        <v>45869</v>
      </c>
      <c r="C25" s="109" t="s">
        <v>5</v>
      </c>
      <c r="D25" s="110" t="s">
        <v>10</v>
      </c>
      <c r="E25" s="112">
        <v>6000</v>
      </c>
    </row>
    <row r="26" spans="1:5" ht="27.75" customHeight="1">
      <c r="A26" s="1">
        <v>23</v>
      </c>
      <c r="B26" s="108">
        <v>45869</v>
      </c>
      <c r="C26" s="109" t="s">
        <v>5</v>
      </c>
      <c r="D26" s="110" t="s">
        <v>9</v>
      </c>
      <c r="E26" s="112">
        <v>3000</v>
      </c>
    </row>
    <row r="27" spans="1:5" ht="27.75" customHeight="1">
      <c r="A27" s="1">
        <v>24</v>
      </c>
      <c r="B27" s="108">
        <v>45869</v>
      </c>
      <c r="C27" s="109" t="s">
        <v>5</v>
      </c>
      <c r="D27" s="110" t="s">
        <v>11</v>
      </c>
      <c r="E27" s="112">
        <v>2000</v>
      </c>
    </row>
    <row r="28" spans="1:5" ht="27.75" customHeight="1">
      <c r="A28" s="1">
        <v>25</v>
      </c>
      <c r="B28" s="108">
        <v>45869</v>
      </c>
      <c r="C28" s="109" t="s">
        <v>5</v>
      </c>
      <c r="D28" s="110" t="s">
        <v>135</v>
      </c>
      <c r="E28" s="112">
        <v>8400</v>
      </c>
    </row>
    <row r="29" spans="1:5" ht="27.75" customHeight="1">
      <c r="A29" s="1">
        <v>26</v>
      </c>
      <c r="B29" s="108">
        <v>45869</v>
      </c>
      <c r="C29" s="109" t="s">
        <v>7</v>
      </c>
      <c r="D29" s="110" t="s">
        <v>16</v>
      </c>
      <c r="E29" s="112">
        <v>2000</v>
      </c>
    </row>
    <row r="30" spans="1:5" ht="27.75" customHeight="1">
      <c r="A30" s="1">
        <v>27</v>
      </c>
      <c r="B30" s="108">
        <v>45869</v>
      </c>
      <c r="C30" s="109" t="s">
        <v>7</v>
      </c>
      <c r="D30" s="110" t="s">
        <v>17</v>
      </c>
      <c r="E30" s="112">
        <v>1456</v>
      </c>
    </row>
    <row r="31" spans="1:5" ht="27.75" customHeight="1">
      <c r="A31" s="1">
        <v>28</v>
      </c>
      <c r="B31" s="108">
        <v>45900</v>
      </c>
      <c r="C31" s="109" t="s">
        <v>5</v>
      </c>
      <c r="D31" s="110" t="s">
        <v>10</v>
      </c>
      <c r="E31" s="112">
        <v>6000</v>
      </c>
    </row>
    <row r="32" spans="1:5" ht="27.75" customHeight="1">
      <c r="A32" s="1">
        <v>29</v>
      </c>
      <c r="B32" s="108">
        <v>45900</v>
      </c>
      <c r="C32" s="109" t="s">
        <v>5</v>
      </c>
      <c r="D32" s="110" t="s">
        <v>9</v>
      </c>
      <c r="E32" s="112">
        <v>3000</v>
      </c>
    </row>
    <row r="33" spans="1:5" ht="27.75" customHeight="1">
      <c r="A33" s="1">
        <v>30</v>
      </c>
      <c r="B33" s="108">
        <v>45900</v>
      </c>
      <c r="C33" s="109" t="s">
        <v>5</v>
      </c>
      <c r="D33" s="110" t="s">
        <v>11</v>
      </c>
      <c r="E33" s="112">
        <v>2000</v>
      </c>
    </row>
    <row r="34" spans="1:5" ht="27.75" customHeight="1">
      <c r="A34" s="1">
        <v>31</v>
      </c>
      <c r="B34" s="108">
        <v>45900</v>
      </c>
      <c r="C34" s="109" t="s">
        <v>5</v>
      </c>
      <c r="D34" s="110" t="s">
        <v>135</v>
      </c>
      <c r="E34" s="112">
        <v>8400</v>
      </c>
    </row>
    <row r="35" spans="1:5" ht="27.75" customHeight="1">
      <c r="A35" s="1">
        <v>32</v>
      </c>
      <c r="B35" s="108">
        <v>45900</v>
      </c>
      <c r="C35" s="109" t="s">
        <v>7</v>
      </c>
      <c r="D35" s="110" t="s">
        <v>16</v>
      </c>
      <c r="E35" s="112">
        <v>2000</v>
      </c>
    </row>
    <row r="36" spans="1:5" ht="27.75" customHeight="1">
      <c r="A36" s="1">
        <v>33</v>
      </c>
      <c r="B36" s="108">
        <v>45900</v>
      </c>
      <c r="C36" s="109" t="s">
        <v>7</v>
      </c>
      <c r="D36" s="110" t="s">
        <v>17</v>
      </c>
      <c r="E36" s="112">
        <v>1456</v>
      </c>
    </row>
    <row r="37" spans="1:5" ht="27.75" customHeight="1">
      <c r="A37" s="1">
        <v>34</v>
      </c>
      <c r="B37" s="108">
        <v>45911</v>
      </c>
      <c r="C37" s="109" t="s">
        <v>7</v>
      </c>
      <c r="D37" s="110" t="s">
        <v>19</v>
      </c>
      <c r="E37" s="112">
        <v>46512</v>
      </c>
    </row>
    <row r="38" spans="1:5" ht="27.75" customHeight="1">
      <c r="A38" s="1">
        <v>35</v>
      </c>
      <c r="B38" s="108">
        <v>45930</v>
      </c>
      <c r="C38" s="109" t="s">
        <v>5</v>
      </c>
      <c r="D38" s="110" t="s">
        <v>10</v>
      </c>
      <c r="E38" s="112">
        <v>6000</v>
      </c>
    </row>
    <row r="39" spans="1:5" ht="27.75" customHeight="1">
      <c r="A39" s="1">
        <v>36</v>
      </c>
      <c r="B39" s="108">
        <v>45930</v>
      </c>
      <c r="C39" s="109" t="s">
        <v>5</v>
      </c>
      <c r="D39" s="110" t="s">
        <v>9</v>
      </c>
      <c r="E39" s="112">
        <v>3000</v>
      </c>
    </row>
    <row r="40" spans="1:5" ht="27.75" customHeight="1">
      <c r="A40" s="1">
        <v>37</v>
      </c>
      <c r="B40" s="108">
        <v>45930</v>
      </c>
      <c r="C40" s="109" t="s">
        <v>5</v>
      </c>
      <c r="D40" s="110" t="s">
        <v>11</v>
      </c>
      <c r="E40" s="112">
        <v>2000</v>
      </c>
    </row>
    <row r="41" spans="1:5" ht="27.75" customHeight="1">
      <c r="A41" s="1">
        <v>38</v>
      </c>
      <c r="B41" s="108">
        <v>45930</v>
      </c>
      <c r="C41" s="109" t="s">
        <v>5</v>
      </c>
      <c r="D41" s="110" t="s">
        <v>135</v>
      </c>
      <c r="E41" s="112">
        <v>8400</v>
      </c>
    </row>
    <row r="42" spans="1:5" ht="27.75" customHeight="1">
      <c r="A42" s="1">
        <v>39</v>
      </c>
      <c r="B42" s="108">
        <v>45930</v>
      </c>
      <c r="C42" s="109" t="s">
        <v>7</v>
      </c>
      <c r="D42" s="110" t="s">
        <v>16</v>
      </c>
      <c r="E42" s="112">
        <v>2000</v>
      </c>
    </row>
    <row r="43" spans="1:5" ht="27.75" customHeight="1">
      <c r="A43" s="1">
        <v>40</v>
      </c>
      <c r="B43" s="108">
        <v>45930</v>
      </c>
      <c r="C43" s="109" t="s">
        <v>7</v>
      </c>
      <c r="D43" s="110" t="s">
        <v>17</v>
      </c>
      <c r="E43" s="112">
        <v>1456</v>
      </c>
    </row>
    <row r="44" spans="1:5" ht="27.75" customHeight="1">
      <c r="A44" s="1">
        <v>41</v>
      </c>
      <c r="B44" s="108">
        <v>45943</v>
      </c>
      <c r="C44" s="109" t="s">
        <v>5</v>
      </c>
      <c r="D44" s="110" t="s">
        <v>12</v>
      </c>
      <c r="E44" s="112">
        <v>13000</v>
      </c>
    </row>
    <row r="45" spans="1:5" ht="27.75" customHeight="1">
      <c r="A45" s="1">
        <v>42</v>
      </c>
      <c r="B45" s="108">
        <v>45961</v>
      </c>
      <c r="C45" s="109" t="s">
        <v>5</v>
      </c>
      <c r="D45" s="110" t="s">
        <v>10</v>
      </c>
      <c r="E45" s="112">
        <v>6000</v>
      </c>
    </row>
    <row r="46" spans="1:5" ht="27.75" customHeight="1">
      <c r="A46" s="1">
        <v>43</v>
      </c>
      <c r="B46" s="108">
        <v>45961</v>
      </c>
      <c r="C46" s="109" t="s">
        <v>5</v>
      </c>
      <c r="D46" s="110" t="s">
        <v>9</v>
      </c>
      <c r="E46" s="112">
        <v>3000</v>
      </c>
    </row>
    <row r="47" spans="1:5" ht="27.75" customHeight="1">
      <c r="A47" s="1">
        <v>44</v>
      </c>
      <c r="B47" s="108">
        <v>45961</v>
      </c>
      <c r="C47" s="109" t="s">
        <v>5</v>
      </c>
      <c r="D47" s="110" t="s">
        <v>11</v>
      </c>
      <c r="E47" s="112">
        <v>2000</v>
      </c>
    </row>
    <row r="48" spans="1:5" ht="27.75" customHeight="1">
      <c r="A48" s="1">
        <v>45</v>
      </c>
      <c r="B48" s="108">
        <v>45961</v>
      </c>
      <c r="C48" s="109" t="s">
        <v>5</v>
      </c>
      <c r="D48" s="110" t="s">
        <v>135</v>
      </c>
      <c r="E48" s="112">
        <v>8400</v>
      </c>
    </row>
    <row r="49" spans="1:5" ht="27.75" customHeight="1">
      <c r="A49" s="1">
        <v>46</v>
      </c>
      <c r="B49" s="108">
        <v>45961</v>
      </c>
      <c r="C49" s="109" t="s">
        <v>7</v>
      </c>
      <c r="D49" s="110" t="s">
        <v>16</v>
      </c>
      <c r="E49" s="112">
        <v>2000</v>
      </c>
    </row>
    <row r="50" spans="1:5" ht="27.75" customHeight="1">
      <c r="A50" s="1">
        <v>47</v>
      </c>
      <c r="B50" s="108">
        <v>45961</v>
      </c>
      <c r="C50" s="109" t="s">
        <v>7</v>
      </c>
      <c r="D50" s="110" t="s">
        <v>17</v>
      </c>
      <c r="E50" s="112">
        <v>1456</v>
      </c>
    </row>
    <row r="51" spans="1:5" ht="27.75" customHeight="1">
      <c r="A51" s="1">
        <v>48</v>
      </c>
      <c r="B51" s="108">
        <v>45991</v>
      </c>
      <c r="C51" s="109" t="s">
        <v>5</v>
      </c>
      <c r="D51" s="110" t="s">
        <v>10</v>
      </c>
      <c r="E51" s="112">
        <v>6000</v>
      </c>
    </row>
    <row r="52" spans="1:5" ht="27.75" customHeight="1">
      <c r="A52" s="1">
        <v>49</v>
      </c>
      <c r="B52" s="108">
        <v>45991</v>
      </c>
      <c r="C52" s="109" t="s">
        <v>5</v>
      </c>
      <c r="D52" s="110" t="s">
        <v>9</v>
      </c>
      <c r="E52" s="112">
        <v>3000</v>
      </c>
    </row>
    <row r="53" spans="1:5" ht="27.75" customHeight="1">
      <c r="A53" s="1">
        <v>50</v>
      </c>
      <c r="B53" s="108">
        <v>45991</v>
      </c>
      <c r="C53" s="109" t="s">
        <v>5</v>
      </c>
      <c r="D53" s="110" t="s">
        <v>11</v>
      </c>
      <c r="E53" s="112">
        <v>2000</v>
      </c>
    </row>
    <row r="54" spans="1:5" ht="27.75" customHeight="1">
      <c r="A54" s="1">
        <v>51</v>
      </c>
      <c r="B54" s="108">
        <v>45991</v>
      </c>
      <c r="C54" s="109" t="s">
        <v>5</v>
      </c>
      <c r="D54" s="110" t="s">
        <v>135</v>
      </c>
      <c r="E54" s="112">
        <v>8400</v>
      </c>
    </row>
    <row r="55" spans="1:5" ht="27.75" customHeight="1">
      <c r="A55" s="1">
        <v>52</v>
      </c>
      <c r="B55" s="108">
        <v>45991</v>
      </c>
      <c r="C55" s="109" t="s">
        <v>7</v>
      </c>
      <c r="D55" s="110" t="s">
        <v>16</v>
      </c>
      <c r="E55" s="112">
        <v>2000</v>
      </c>
    </row>
    <row r="56" spans="1:5" ht="27.75" customHeight="1">
      <c r="A56" s="1">
        <v>53</v>
      </c>
      <c r="B56" s="108">
        <v>45991</v>
      </c>
      <c r="C56" s="109" t="s">
        <v>7</v>
      </c>
      <c r="D56" s="110" t="s">
        <v>17</v>
      </c>
      <c r="E56" s="112">
        <v>1456</v>
      </c>
    </row>
    <row r="57" spans="1:5" ht="27.75" customHeight="1">
      <c r="A57" s="1">
        <v>54</v>
      </c>
      <c r="B57" s="108">
        <v>46019</v>
      </c>
      <c r="C57" s="109" t="s">
        <v>5</v>
      </c>
      <c r="D57" s="110" t="s">
        <v>10</v>
      </c>
      <c r="E57" s="112">
        <v>6000</v>
      </c>
    </row>
    <row r="58" spans="1:5" ht="27.75" customHeight="1">
      <c r="A58" s="1">
        <v>55</v>
      </c>
      <c r="B58" s="108">
        <v>46019</v>
      </c>
      <c r="C58" s="109" t="s">
        <v>5</v>
      </c>
      <c r="D58" s="110" t="s">
        <v>9</v>
      </c>
      <c r="E58" s="112">
        <v>3000</v>
      </c>
    </row>
    <row r="59" spans="1:5" ht="27.75" customHeight="1">
      <c r="A59" s="1">
        <v>56</v>
      </c>
      <c r="B59" s="108">
        <v>46019</v>
      </c>
      <c r="C59" s="109" t="s">
        <v>5</v>
      </c>
      <c r="D59" s="110" t="s">
        <v>11</v>
      </c>
      <c r="E59" s="112">
        <v>2000</v>
      </c>
    </row>
    <row r="60" spans="1:5" ht="27.75" customHeight="1">
      <c r="A60" s="1">
        <v>57</v>
      </c>
      <c r="B60" s="108">
        <v>46022</v>
      </c>
      <c r="C60" s="109" t="s">
        <v>5</v>
      </c>
      <c r="D60" s="110" t="s">
        <v>135</v>
      </c>
      <c r="E60" s="112">
        <v>8400</v>
      </c>
    </row>
    <row r="61" spans="1:5" ht="27.75" customHeight="1">
      <c r="A61" s="1">
        <v>58</v>
      </c>
      <c r="B61" s="108">
        <v>46019</v>
      </c>
      <c r="C61" s="109" t="s">
        <v>7</v>
      </c>
      <c r="D61" s="110" t="s">
        <v>16</v>
      </c>
      <c r="E61" s="112">
        <v>2000</v>
      </c>
    </row>
    <row r="62" spans="1:5" ht="27.75" customHeight="1">
      <c r="A62" s="1">
        <v>59</v>
      </c>
      <c r="B62" s="108">
        <v>46019</v>
      </c>
      <c r="C62" s="109" t="s">
        <v>7</v>
      </c>
      <c r="D62" s="110" t="s">
        <v>17</v>
      </c>
      <c r="E62" s="112">
        <v>1456</v>
      </c>
    </row>
    <row r="63" spans="1:5" ht="27.75" customHeight="1">
      <c r="A63" s="1">
        <v>60</v>
      </c>
      <c r="B63" s="108">
        <v>46053</v>
      </c>
      <c r="C63" s="109" t="s">
        <v>5</v>
      </c>
      <c r="D63" s="110" t="s">
        <v>10</v>
      </c>
      <c r="E63" s="112">
        <v>6000</v>
      </c>
    </row>
    <row r="64" spans="1:5" ht="27.75" customHeight="1">
      <c r="A64" s="1">
        <v>61</v>
      </c>
      <c r="B64" s="108">
        <v>46053</v>
      </c>
      <c r="C64" s="109" t="s">
        <v>5</v>
      </c>
      <c r="D64" s="110" t="s">
        <v>9</v>
      </c>
      <c r="E64" s="112">
        <v>3000</v>
      </c>
    </row>
    <row r="65" spans="1:5" ht="27.75" customHeight="1">
      <c r="A65" s="1">
        <v>62</v>
      </c>
      <c r="B65" s="108">
        <v>46053</v>
      </c>
      <c r="C65" s="109" t="s">
        <v>5</v>
      </c>
      <c r="D65" s="110" t="s">
        <v>11</v>
      </c>
      <c r="E65" s="112">
        <v>2000</v>
      </c>
    </row>
    <row r="66" spans="1:5" ht="27.75" customHeight="1">
      <c r="A66" s="1">
        <v>63</v>
      </c>
      <c r="B66" s="108">
        <v>46053</v>
      </c>
      <c r="C66" s="109" t="s">
        <v>5</v>
      </c>
      <c r="D66" s="110" t="s">
        <v>135</v>
      </c>
      <c r="E66" s="112">
        <v>8400</v>
      </c>
    </row>
    <row r="67" spans="1:5" ht="27.75" customHeight="1">
      <c r="A67" s="1">
        <v>64</v>
      </c>
      <c r="B67" s="108">
        <v>46053</v>
      </c>
      <c r="C67" s="109" t="s">
        <v>7</v>
      </c>
      <c r="D67" s="110" t="s">
        <v>16</v>
      </c>
      <c r="E67" s="112">
        <v>2000</v>
      </c>
    </row>
    <row r="68" spans="1:5" ht="27.75" customHeight="1">
      <c r="A68" s="1">
        <v>65</v>
      </c>
      <c r="B68" s="108">
        <v>46053</v>
      </c>
      <c r="C68" s="109" t="s">
        <v>7</v>
      </c>
      <c r="D68" s="110" t="s">
        <v>17</v>
      </c>
      <c r="E68" s="112">
        <v>1456</v>
      </c>
    </row>
    <row r="69" spans="1:5" ht="27.75" customHeight="1">
      <c r="A69" s="1">
        <v>66</v>
      </c>
      <c r="B69" s="108">
        <v>46081</v>
      </c>
      <c r="C69" s="109" t="s">
        <v>5</v>
      </c>
      <c r="D69" s="110" t="s">
        <v>10</v>
      </c>
      <c r="E69" s="112">
        <v>6000</v>
      </c>
    </row>
    <row r="70" spans="1:5" ht="27.75" customHeight="1">
      <c r="A70" s="1">
        <v>67</v>
      </c>
      <c r="B70" s="108">
        <v>46081</v>
      </c>
      <c r="C70" s="109" t="s">
        <v>5</v>
      </c>
      <c r="D70" s="110" t="s">
        <v>9</v>
      </c>
      <c r="E70" s="112">
        <v>3000</v>
      </c>
    </row>
    <row r="71" spans="1:5" ht="27.75" customHeight="1">
      <c r="A71" s="1">
        <v>68</v>
      </c>
      <c r="B71" s="108">
        <v>46081</v>
      </c>
      <c r="C71" s="109" t="s">
        <v>5</v>
      </c>
      <c r="D71" s="110" t="s">
        <v>11</v>
      </c>
      <c r="E71" s="112">
        <v>2000</v>
      </c>
    </row>
    <row r="72" spans="1:5" ht="27.75" customHeight="1">
      <c r="A72" s="1">
        <v>69</v>
      </c>
      <c r="B72" s="108">
        <v>46081</v>
      </c>
      <c r="C72" s="109" t="s">
        <v>5</v>
      </c>
      <c r="D72" s="110" t="s">
        <v>135</v>
      </c>
      <c r="E72" s="112">
        <v>8400</v>
      </c>
    </row>
    <row r="73" spans="1:5" ht="27.75" customHeight="1">
      <c r="A73" s="1">
        <v>70</v>
      </c>
      <c r="B73" s="108">
        <v>46081</v>
      </c>
      <c r="C73" s="109" t="s">
        <v>7</v>
      </c>
      <c r="D73" s="110" t="s">
        <v>16</v>
      </c>
      <c r="E73" s="112">
        <v>2000</v>
      </c>
    </row>
    <row r="74" spans="1:5" ht="27.75" customHeight="1">
      <c r="A74" s="1">
        <v>71</v>
      </c>
      <c r="B74" s="108">
        <v>46081</v>
      </c>
      <c r="C74" s="109" t="s">
        <v>7</v>
      </c>
      <c r="D74" s="110" t="s">
        <v>17</v>
      </c>
      <c r="E74" s="112">
        <v>1456</v>
      </c>
    </row>
    <row r="75" spans="1:5" ht="27.75" customHeight="1">
      <c r="A75" s="1">
        <v>72</v>
      </c>
      <c r="B75" s="108">
        <v>46112</v>
      </c>
      <c r="C75" s="109" t="s">
        <v>5</v>
      </c>
      <c r="D75" s="110" t="s">
        <v>10</v>
      </c>
      <c r="E75" s="112">
        <v>6000</v>
      </c>
    </row>
    <row r="76" spans="1:5" ht="27.75" customHeight="1">
      <c r="A76" s="1">
        <v>73</v>
      </c>
      <c r="B76" s="108">
        <v>46112</v>
      </c>
      <c r="C76" s="109" t="s">
        <v>5</v>
      </c>
      <c r="D76" s="110" t="s">
        <v>9</v>
      </c>
      <c r="E76" s="112">
        <v>3000</v>
      </c>
    </row>
    <row r="77" spans="1:5" ht="27.75" customHeight="1">
      <c r="A77" s="1">
        <v>74</v>
      </c>
      <c r="B77" s="108">
        <v>46112</v>
      </c>
      <c r="C77" s="109" t="s">
        <v>5</v>
      </c>
      <c r="D77" s="110" t="s">
        <v>11</v>
      </c>
      <c r="E77" s="112">
        <v>2000</v>
      </c>
    </row>
    <row r="78" spans="1:5" ht="27.75" customHeight="1">
      <c r="A78" s="1">
        <v>75</v>
      </c>
      <c r="B78" s="108">
        <v>46112</v>
      </c>
      <c r="C78" s="109" t="s">
        <v>5</v>
      </c>
      <c r="D78" s="110" t="s">
        <v>135</v>
      </c>
      <c r="E78" s="112">
        <v>8400</v>
      </c>
    </row>
    <row r="79" spans="1:5" ht="27.75" customHeight="1">
      <c r="A79" s="1">
        <v>76</v>
      </c>
      <c r="B79" s="108">
        <v>46112</v>
      </c>
      <c r="C79" s="109" t="s">
        <v>7</v>
      </c>
      <c r="D79" s="110" t="s">
        <v>16</v>
      </c>
      <c r="E79" s="112">
        <v>2000</v>
      </c>
    </row>
    <row r="80" spans="1:5" ht="27.75" customHeight="1">
      <c r="A80" s="1">
        <v>77</v>
      </c>
      <c r="B80" s="108">
        <v>46112</v>
      </c>
      <c r="C80" s="109" t="s">
        <v>7</v>
      </c>
      <c r="D80" s="110" t="s">
        <v>17</v>
      </c>
      <c r="E80" s="112">
        <v>1456</v>
      </c>
    </row>
    <row r="81" spans="1:5" ht="27.75" customHeight="1">
      <c r="A81" s="1">
        <v>78</v>
      </c>
      <c r="B81" s="108"/>
      <c r="C81" s="109"/>
      <c r="D81" s="110"/>
      <c r="E81" s="112"/>
    </row>
    <row r="82" spans="1:5" ht="27.75" customHeight="1">
      <c r="A82" s="1">
        <v>79</v>
      </c>
      <c r="B82" s="60"/>
      <c r="C82" s="61"/>
      <c r="D82" s="62"/>
      <c r="E82" s="63"/>
    </row>
    <row r="83" spans="1:5" ht="27.75" customHeight="1">
      <c r="A83" s="1">
        <v>80</v>
      </c>
      <c r="B83" s="60"/>
      <c r="C83" s="61"/>
      <c r="D83" s="62"/>
      <c r="E83" s="63"/>
    </row>
    <row r="84" spans="1:5" ht="27.75" customHeight="1">
      <c r="A84" s="1">
        <v>81</v>
      </c>
      <c r="B84" s="60"/>
      <c r="C84" s="61"/>
      <c r="D84" s="62"/>
      <c r="E84" s="63"/>
    </row>
    <row r="85" spans="1:5" ht="27.75" customHeight="1">
      <c r="A85" s="1">
        <v>82</v>
      </c>
      <c r="B85" s="60"/>
      <c r="C85" s="61"/>
      <c r="D85" s="62"/>
      <c r="E85" s="63"/>
    </row>
    <row r="86" spans="1:5" ht="27.75" customHeight="1">
      <c r="A86" s="1">
        <v>83</v>
      </c>
      <c r="B86" s="60"/>
      <c r="C86" s="61"/>
      <c r="D86" s="62"/>
      <c r="E86" s="63"/>
    </row>
    <row r="87" spans="1:5" ht="27.75" customHeight="1">
      <c r="A87" s="1">
        <v>84</v>
      </c>
      <c r="B87" s="60"/>
      <c r="C87" s="61"/>
      <c r="D87" s="62"/>
      <c r="E87" s="63"/>
    </row>
    <row r="88" spans="1:5" ht="27.75" customHeight="1">
      <c r="A88" s="1">
        <v>85</v>
      </c>
      <c r="B88" s="60"/>
      <c r="C88" s="61"/>
      <c r="D88" s="62"/>
      <c r="E88" s="63"/>
    </row>
    <row r="89" spans="1:5" ht="27.75" customHeight="1">
      <c r="A89" s="1">
        <v>86</v>
      </c>
      <c r="B89" s="60"/>
      <c r="C89" s="61"/>
      <c r="D89" s="62"/>
      <c r="E89" s="63"/>
    </row>
    <row r="90" spans="1:5" ht="27.75" customHeight="1">
      <c r="A90" s="1">
        <v>87</v>
      </c>
      <c r="B90" s="60"/>
      <c r="C90" s="61"/>
      <c r="D90" s="62"/>
      <c r="E90" s="63"/>
    </row>
    <row r="91" spans="1:5" ht="27.75" customHeight="1">
      <c r="A91" s="1">
        <v>88</v>
      </c>
      <c r="B91" s="60"/>
      <c r="C91" s="61"/>
      <c r="D91" s="62"/>
      <c r="E91" s="63"/>
    </row>
    <row r="92" spans="1:5" ht="27.75" customHeight="1">
      <c r="A92" s="1">
        <v>89</v>
      </c>
      <c r="B92" s="60"/>
      <c r="C92" s="61"/>
      <c r="D92" s="62"/>
      <c r="E92" s="63"/>
    </row>
    <row r="93" spans="1:5" ht="27.75" customHeight="1">
      <c r="A93" s="1">
        <v>90</v>
      </c>
      <c r="B93" s="60"/>
      <c r="C93" s="61"/>
      <c r="D93" s="62"/>
      <c r="E93" s="63"/>
    </row>
    <row r="94" spans="1:5" ht="27.75" customHeight="1">
      <c r="A94" s="1">
        <v>91</v>
      </c>
      <c r="B94" s="60"/>
      <c r="C94" s="61"/>
      <c r="D94" s="62"/>
      <c r="E94" s="63"/>
    </row>
    <row r="95" spans="1:5" ht="27.75" customHeight="1">
      <c r="A95" s="1">
        <v>92</v>
      </c>
      <c r="B95" s="60"/>
      <c r="C95" s="61"/>
      <c r="D95" s="62"/>
      <c r="E95" s="63"/>
    </row>
    <row r="96" spans="1:5" ht="27.75" customHeight="1">
      <c r="A96" s="1">
        <v>93</v>
      </c>
      <c r="B96" s="60"/>
      <c r="C96" s="61"/>
      <c r="D96" s="62"/>
      <c r="E96" s="63"/>
    </row>
    <row r="97" spans="1:5" ht="27.75" customHeight="1">
      <c r="A97" s="1">
        <v>94</v>
      </c>
      <c r="B97" s="60"/>
      <c r="C97" s="61"/>
      <c r="D97" s="62"/>
      <c r="E97" s="63"/>
    </row>
    <row r="98" spans="1:5" ht="27.75" customHeight="1">
      <c r="A98" s="1">
        <v>95</v>
      </c>
      <c r="B98" s="60"/>
      <c r="C98" s="61"/>
      <c r="D98" s="62"/>
      <c r="E98" s="63"/>
    </row>
    <row r="99" spans="1:5" ht="27.75" customHeight="1">
      <c r="A99" s="1">
        <v>96</v>
      </c>
      <c r="B99" s="60"/>
      <c r="C99" s="61"/>
      <c r="D99" s="62"/>
      <c r="E99" s="63"/>
    </row>
    <row r="100" spans="1:5" ht="27.75" customHeight="1">
      <c r="A100" s="1">
        <v>97</v>
      </c>
      <c r="B100" s="60"/>
      <c r="C100" s="61"/>
      <c r="D100" s="62"/>
      <c r="E100" s="63"/>
    </row>
    <row r="101" spans="1:5" ht="27.75" customHeight="1">
      <c r="A101" s="1">
        <v>98</v>
      </c>
      <c r="B101" s="60"/>
      <c r="C101" s="61"/>
      <c r="D101" s="62"/>
      <c r="E101" s="63"/>
    </row>
    <row r="102" spans="1:5" ht="27.75" customHeight="1">
      <c r="A102" s="1">
        <v>99</v>
      </c>
      <c r="B102" s="60"/>
      <c r="C102" s="61"/>
      <c r="D102" s="62"/>
      <c r="E102" s="63"/>
    </row>
    <row r="103" spans="1:5" ht="27.75" customHeight="1">
      <c r="A103" s="1">
        <v>100</v>
      </c>
      <c r="B103" s="60"/>
      <c r="C103" s="61"/>
      <c r="D103" s="62"/>
      <c r="E103" s="63"/>
    </row>
    <row r="104" spans="1:5" ht="27.75" customHeight="1">
      <c r="B104" s="60"/>
      <c r="C104" s="61"/>
      <c r="D104" s="62"/>
      <c r="E104" s="63"/>
    </row>
    <row r="105" spans="1:5">
      <c r="B105" s="60"/>
      <c r="C105" s="61"/>
      <c r="D105" s="62"/>
      <c r="E105" s="63"/>
    </row>
    <row r="106" spans="1:5">
      <c r="B106" s="60"/>
      <c r="C106" s="61"/>
      <c r="D106" s="62"/>
      <c r="E106" s="63"/>
    </row>
    <row r="107" spans="1:5">
      <c r="B107" s="60"/>
      <c r="C107" s="61"/>
      <c r="D107" s="62"/>
      <c r="E107" s="63"/>
    </row>
    <row r="108" spans="1:5">
      <c r="B108" s="60"/>
      <c r="C108" s="61"/>
      <c r="D108" s="62"/>
      <c r="E108" s="63"/>
    </row>
    <row r="109" spans="1:5">
      <c r="B109" s="60"/>
      <c r="C109" s="61"/>
      <c r="D109" s="62"/>
      <c r="E109" s="63"/>
    </row>
    <row r="110" spans="1:5">
      <c r="B110" s="60"/>
      <c r="C110" s="61"/>
      <c r="D110" s="62"/>
      <c r="E110" s="63"/>
    </row>
    <row r="111" spans="1:5">
      <c r="B111" s="60"/>
      <c r="C111" s="61"/>
      <c r="D111" s="62"/>
      <c r="E111" s="63"/>
    </row>
    <row r="112" spans="1:5">
      <c r="B112" s="60"/>
      <c r="C112" s="61"/>
      <c r="D112" s="62"/>
      <c r="E112" s="63"/>
    </row>
    <row r="113" spans="2:5">
      <c r="B113" s="60"/>
      <c r="C113" s="61"/>
      <c r="D113" s="62"/>
      <c r="E113" s="63"/>
    </row>
    <row r="114" spans="2:5">
      <c r="B114" s="64"/>
      <c r="C114" s="61"/>
      <c r="D114" s="65"/>
      <c r="E114" s="63"/>
    </row>
    <row r="115" spans="2:5">
      <c r="B115" s="64"/>
      <c r="C115" s="61"/>
      <c r="D115" s="65"/>
      <c r="E115" s="63"/>
    </row>
  </sheetData>
  <autoFilter ref="A3:E103" xr:uid="{782A9FD3-FF21-4262-941A-E8619B56749D}"/>
  <phoneticPr fontId="1"/>
  <pageMargins left="0.7" right="0.7" top="0.75" bottom="0.75" header="0.3" footer="0.3"/>
  <pageSetup paperSize="9" scale="99" orientation="portrait" r:id="rId1"/>
  <rowBreaks count="2" manualBreakCount="2">
    <brk id="53" max="16383" man="1"/>
    <brk id="7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F560CF-FA01-43EA-AACD-7CDE59D96076}">
          <x14:formula1>
            <xm:f>Sheet1!$A$1:$A$4</xm:f>
          </x14:formula1>
          <xm:sqref>C4:C115</xm:sqref>
        </x14:dataValidation>
        <x14:dataValidation type="list" allowBlank="1" showInputMessage="1" showErrorMessage="1" xr:uid="{402F7B15-DDD0-456F-87E8-B06AEFF28E32}">
          <x14:formula1>
            <xm:f>Sheet1!$B$1:$B$19</xm:f>
          </x14:formula1>
          <xm:sqref>D4:D113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E0AD-EF0F-409A-A475-38890E710999}">
  <dimension ref="A1:F42"/>
  <sheetViews>
    <sheetView zoomScale="85" zoomScaleNormal="85" workbookViewId="0">
      <selection activeCell="A7" sqref="A7:B7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74</v>
      </c>
    </row>
    <row r="3" spans="1:6" s="20" customFormat="1" ht="41.45" customHeight="1">
      <c r="A3" s="186" t="s">
        <v>75</v>
      </c>
      <c r="B3" s="186"/>
      <c r="C3" s="186"/>
      <c r="D3" s="186"/>
      <c r="E3" s="23"/>
    </row>
    <row r="4" spans="1:6" ht="18" customHeight="1">
      <c r="A4" s="24" t="s">
        <v>76</v>
      </c>
      <c r="B4" s="19"/>
      <c r="C4" s="19"/>
      <c r="D4" s="25" t="s">
        <v>77</v>
      </c>
      <c r="E4" s="20"/>
    </row>
    <row r="5" spans="1:6" ht="23.25" customHeight="1">
      <c r="A5" s="187" t="s">
        <v>78</v>
      </c>
      <c r="B5" s="188"/>
      <c r="C5" s="27" t="s">
        <v>79</v>
      </c>
      <c r="D5" s="27" t="s">
        <v>80</v>
      </c>
      <c r="E5" s="20"/>
    </row>
    <row r="6" spans="1:6" ht="30" customHeight="1">
      <c r="A6" s="189" t="s">
        <v>81</v>
      </c>
      <c r="B6" s="190"/>
      <c r="C6" s="69">
        <f>支出合計!E4</f>
        <v>415000</v>
      </c>
      <c r="D6" s="69" t="s">
        <v>167</v>
      </c>
      <c r="E6" s="20"/>
    </row>
    <row r="7" spans="1:6" ht="30" customHeight="1">
      <c r="A7" s="191" t="s">
        <v>179</v>
      </c>
      <c r="B7" s="192"/>
      <c r="C7" s="140">
        <v>984</v>
      </c>
      <c r="D7" s="140"/>
    </row>
    <row r="8" spans="1:6" ht="30" customHeight="1" thickBot="1">
      <c r="A8" s="191"/>
      <c r="B8" s="192"/>
      <c r="C8" s="140"/>
      <c r="D8" s="140"/>
    </row>
    <row r="9" spans="1:6" ht="30" customHeight="1" thickBot="1">
      <c r="A9" s="193" t="s">
        <v>82</v>
      </c>
      <c r="B9" s="194"/>
      <c r="C9" s="70">
        <f>SUM(C6:C8)</f>
        <v>415984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83</v>
      </c>
      <c r="B11" s="19"/>
      <c r="C11" s="19"/>
    </row>
    <row r="12" spans="1:6" ht="23.25" customHeight="1">
      <c r="A12" s="195" t="s">
        <v>78</v>
      </c>
      <c r="B12" s="196"/>
      <c r="C12" s="29" t="s">
        <v>79</v>
      </c>
      <c r="D12" s="29" t="s">
        <v>80</v>
      </c>
      <c r="E12" s="30"/>
    </row>
    <row r="13" spans="1:6" ht="30" customHeight="1">
      <c r="A13" s="197" t="s">
        <v>84</v>
      </c>
      <c r="B13" s="31" t="s">
        <v>85</v>
      </c>
      <c r="C13" s="71">
        <f>支出合計!B29</f>
        <v>72000</v>
      </c>
      <c r="D13" s="141" t="s">
        <v>169</v>
      </c>
      <c r="E13" s="32"/>
      <c r="F13" s="20"/>
    </row>
    <row r="14" spans="1:6" ht="30" customHeight="1">
      <c r="A14" s="198"/>
      <c r="B14" s="31" t="s">
        <v>86</v>
      </c>
      <c r="C14" s="71">
        <f>支出合計!B30</f>
        <v>36000</v>
      </c>
      <c r="D14" s="141" t="s">
        <v>170</v>
      </c>
      <c r="E14" s="32"/>
      <c r="F14" s="20"/>
    </row>
    <row r="15" spans="1:6" ht="30" customHeight="1">
      <c r="A15" s="198"/>
      <c r="B15" s="31" t="s">
        <v>87</v>
      </c>
      <c r="C15" s="71">
        <f>支出合計!B31</f>
        <v>24000</v>
      </c>
      <c r="D15" s="141" t="s">
        <v>171</v>
      </c>
      <c r="E15" s="32"/>
      <c r="F15" s="20"/>
    </row>
    <row r="16" spans="1:6" ht="30" customHeight="1">
      <c r="A16" s="198"/>
      <c r="B16" s="31" t="s">
        <v>88</v>
      </c>
      <c r="C16" s="71">
        <f>支出合計!B32</f>
        <v>30200</v>
      </c>
      <c r="D16" s="141" t="s">
        <v>172</v>
      </c>
      <c r="E16" s="32"/>
      <c r="F16" s="20"/>
    </row>
    <row r="17" spans="1:6" ht="30" customHeight="1">
      <c r="A17" s="198"/>
      <c r="B17" s="31" t="s">
        <v>89</v>
      </c>
      <c r="C17" s="71">
        <f>支出合計!B33</f>
        <v>0</v>
      </c>
      <c r="D17" s="141"/>
      <c r="E17" s="32"/>
      <c r="F17" s="20"/>
    </row>
    <row r="18" spans="1:6" ht="30" customHeight="1">
      <c r="A18" s="198"/>
      <c r="B18" s="31" t="s">
        <v>90</v>
      </c>
      <c r="C18" s="71">
        <f>支出合計!B34</f>
        <v>0</v>
      </c>
      <c r="D18" s="141"/>
      <c r="E18" s="32"/>
      <c r="F18" s="20"/>
    </row>
    <row r="19" spans="1:6" ht="30" customHeight="1">
      <c r="A19" s="198"/>
      <c r="B19" s="31" t="s">
        <v>91</v>
      </c>
      <c r="C19" s="71">
        <f>支出合計!B35</f>
        <v>100800</v>
      </c>
      <c r="D19" s="141" t="s">
        <v>173</v>
      </c>
      <c r="E19" s="33"/>
      <c r="F19" s="20"/>
    </row>
    <row r="20" spans="1:6" ht="30" customHeight="1">
      <c r="A20" s="198"/>
      <c r="B20" s="31" t="s">
        <v>92</v>
      </c>
      <c r="C20" s="71">
        <f>支出合計!B36</f>
        <v>0</v>
      </c>
      <c r="D20" s="141"/>
      <c r="E20" s="33"/>
      <c r="F20" s="20"/>
    </row>
    <row r="21" spans="1:6" ht="30" customHeight="1">
      <c r="A21" s="198"/>
      <c r="B21" s="34" t="s">
        <v>64</v>
      </c>
      <c r="C21" s="71">
        <f>支出合計!B37</f>
        <v>0</v>
      </c>
      <c r="D21" s="142"/>
      <c r="E21" s="33"/>
      <c r="F21" s="20"/>
    </row>
    <row r="22" spans="1:6" ht="30" customHeight="1">
      <c r="A22" s="187" t="s">
        <v>6</v>
      </c>
      <c r="B22" s="188"/>
      <c r="C22" s="71">
        <f>支出合計!E26</f>
        <v>15000</v>
      </c>
      <c r="D22" s="142" t="s">
        <v>174</v>
      </c>
      <c r="E22" s="33"/>
      <c r="F22" s="20"/>
    </row>
    <row r="23" spans="1:6" ht="30" customHeight="1">
      <c r="A23" s="199" t="s">
        <v>7</v>
      </c>
      <c r="B23" s="35" t="s">
        <v>93</v>
      </c>
      <c r="C23" s="71">
        <f>支出合計!H29</f>
        <v>24000</v>
      </c>
      <c r="D23" s="142" t="s">
        <v>175</v>
      </c>
      <c r="E23" s="33"/>
      <c r="F23" s="20"/>
    </row>
    <row r="24" spans="1:6" ht="30" customHeight="1">
      <c r="A24" s="199"/>
      <c r="B24" s="31" t="s">
        <v>94</v>
      </c>
      <c r="C24" s="71">
        <f>支出合計!H30</f>
        <v>17472</v>
      </c>
      <c r="D24" s="142" t="s">
        <v>176</v>
      </c>
      <c r="E24" s="33"/>
      <c r="F24" s="20"/>
    </row>
    <row r="25" spans="1:6" ht="30" customHeight="1">
      <c r="A25" s="199"/>
      <c r="B25" s="31" t="s">
        <v>87</v>
      </c>
      <c r="C25" s="71">
        <f>支出合計!H31</f>
        <v>0</v>
      </c>
      <c r="D25" s="142"/>
      <c r="E25" s="33"/>
      <c r="F25" s="20"/>
    </row>
    <row r="26" spans="1:6" ht="30" customHeight="1">
      <c r="A26" s="199"/>
      <c r="B26" s="31" t="s">
        <v>95</v>
      </c>
      <c r="C26" s="71">
        <f>支出合計!H32+支出合計!H33</f>
        <v>46512</v>
      </c>
      <c r="D26" s="142" t="s">
        <v>177</v>
      </c>
      <c r="E26" s="33"/>
      <c r="F26" s="20"/>
    </row>
    <row r="27" spans="1:6" ht="30" customHeight="1">
      <c r="A27" s="199" t="s">
        <v>96</v>
      </c>
      <c r="B27" s="31" t="s">
        <v>97</v>
      </c>
      <c r="C27" s="71">
        <f>支出合計!K29</f>
        <v>0</v>
      </c>
      <c r="D27" s="142"/>
      <c r="E27" s="33"/>
      <c r="F27" s="20"/>
    </row>
    <row r="28" spans="1:6" ht="30" customHeight="1">
      <c r="A28" s="199"/>
      <c r="B28" s="31" t="s">
        <v>98</v>
      </c>
      <c r="C28" s="71">
        <f>支出合計!K30</f>
        <v>50000</v>
      </c>
      <c r="D28" s="142" t="s">
        <v>178</v>
      </c>
      <c r="E28" s="33"/>
      <c r="F28" s="20"/>
    </row>
    <row r="29" spans="1:6" ht="30" customHeight="1">
      <c r="A29" s="199"/>
      <c r="B29" s="31" t="s">
        <v>99</v>
      </c>
      <c r="C29" s="71">
        <f>支出合計!K31</f>
        <v>0</v>
      </c>
      <c r="D29" s="142"/>
      <c r="E29" s="33"/>
      <c r="F29" s="20"/>
    </row>
    <row r="30" spans="1:6" ht="30" customHeight="1" thickBot="1">
      <c r="A30" s="197"/>
      <c r="B30" s="34" t="s">
        <v>64</v>
      </c>
      <c r="C30" s="71">
        <f>支出合計!K32</f>
        <v>0</v>
      </c>
      <c r="D30" s="142"/>
      <c r="E30" s="33"/>
      <c r="F30" s="20"/>
    </row>
    <row r="31" spans="1:6" ht="30" customHeight="1" thickBot="1">
      <c r="A31" s="200" t="s">
        <v>100</v>
      </c>
      <c r="B31" s="201"/>
      <c r="C31" s="72">
        <f>SUM(C13:C30)</f>
        <v>415984</v>
      </c>
      <c r="D31" s="36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85" t="s">
        <v>197</v>
      </c>
      <c r="C33" s="185"/>
      <c r="D33" s="33"/>
      <c r="E33" s="19"/>
      <c r="F33" s="20"/>
    </row>
    <row r="34" spans="1:6" ht="18" customHeight="1">
      <c r="A34" s="37"/>
      <c r="B34" s="32"/>
      <c r="C34" s="68" t="s">
        <v>101</v>
      </c>
      <c r="D34" s="73" t="str">
        <f>利用者名簿!G26</f>
        <v>●●●会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8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9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40"/>
    </row>
  </sheetData>
  <sheetProtection algorithmName="SHA-512" hashValue="bslWUR0RyclqfG20TdIwgAAklzjZ+fY2n+lj7yfINW67h6yaIX7xMis7hW5pRsSqUnlLEYOhRc1ImhSLrbrVyg==" saltValue="d1TjIBNc3UpBHBWiLmUyTA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3013-16B4-4446-8453-5A674C453189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7" customWidth="1"/>
    <col min="2" max="2" width="27.625" style="77" customWidth="1"/>
    <col min="3" max="3" width="7.125" style="77" bestFit="1" customWidth="1"/>
    <col min="4" max="4" width="7.25" style="77" customWidth="1"/>
    <col min="5" max="5" width="1.25" style="78" customWidth="1"/>
    <col min="6" max="6" width="6" style="78" customWidth="1"/>
    <col min="7" max="7" width="4.375" style="78" customWidth="1"/>
    <col min="8" max="39" width="4.375" style="77" customWidth="1"/>
    <col min="40" max="16384" width="9" style="77"/>
  </cols>
  <sheetData>
    <row r="1" spans="1:52" ht="21.75" customHeight="1">
      <c r="A1" s="76"/>
      <c r="AK1" s="79" t="s">
        <v>104</v>
      </c>
      <c r="AL1" s="79"/>
      <c r="AM1" s="79"/>
    </row>
    <row r="2" spans="1:52" s="85" customFormat="1" ht="24" customHeight="1">
      <c r="A2" s="80" t="s">
        <v>203</v>
      </c>
      <c r="B2" s="80"/>
      <c r="C2" s="80"/>
      <c r="D2" s="81" t="s">
        <v>105</v>
      </c>
      <c r="E2" s="82"/>
      <c r="F2" s="202" t="s">
        <v>140</v>
      </c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83"/>
      <c r="AA2" s="202" t="s">
        <v>106</v>
      </c>
      <c r="AB2" s="202"/>
      <c r="AC2" s="202"/>
      <c r="AD2" s="104" t="str">
        <f>利用者名簿!G26</f>
        <v>●●●会</v>
      </c>
      <c r="AE2" s="84"/>
      <c r="AF2" s="84"/>
      <c r="AG2" s="84"/>
      <c r="AH2" s="84"/>
      <c r="AI2" s="84"/>
      <c r="AJ2" s="84"/>
      <c r="AK2" s="84"/>
      <c r="AL2" s="101"/>
      <c r="AM2" s="101"/>
    </row>
    <row r="3" spans="1:52" ht="7.5" customHeight="1">
      <c r="A3" s="86"/>
      <c r="B3" s="86"/>
      <c r="C3" s="86"/>
      <c r="D3" s="87"/>
      <c r="E3" s="87"/>
      <c r="F3" s="87"/>
      <c r="G3" s="87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AA3" s="88"/>
      <c r="AB3" s="88"/>
      <c r="AC3" s="88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52" ht="25.5" customHeight="1">
      <c r="A4" s="203"/>
      <c r="B4" s="206" t="s">
        <v>107</v>
      </c>
      <c r="C4" s="209" t="s">
        <v>109</v>
      </c>
      <c r="D4" s="211" t="s">
        <v>110</v>
      </c>
      <c r="E4" s="91"/>
      <c r="F4" s="92" t="s">
        <v>111</v>
      </c>
      <c r="G4" s="216">
        <v>4</v>
      </c>
      <c r="H4" s="217"/>
      <c r="I4" s="217"/>
      <c r="J4" s="217"/>
      <c r="K4" s="218"/>
      <c r="L4" s="219">
        <v>5</v>
      </c>
      <c r="M4" s="217"/>
      <c r="N4" s="217"/>
      <c r="O4" s="217"/>
      <c r="P4" s="218"/>
      <c r="Q4" s="219">
        <v>6</v>
      </c>
      <c r="R4" s="217"/>
      <c r="S4" s="217"/>
      <c r="T4" s="217"/>
      <c r="U4" s="218"/>
      <c r="V4" s="219">
        <v>7</v>
      </c>
      <c r="W4" s="217"/>
      <c r="X4" s="217"/>
      <c r="Y4" s="217"/>
      <c r="Z4" s="218"/>
      <c r="AA4" s="219">
        <v>8</v>
      </c>
      <c r="AB4" s="217"/>
      <c r="AC4" s="217"/>
      <c r="AD4" s="217"/>
      <c r="AE4" s="218"/>
      <c r="AF4" s="219">
        <v>9</v>
      </c>
      <c r="AG4" s="217"/>
      <c r="AH4" s="217"/>
      <c r="AI4" s="217"/>
      <c r="AJ4" s="274"/>
    </row>
    <row r="5" spans="1:52" ht="25.5" customHeight="1">
      <c r="A5" s="204"/>
      <c r="B5" s="207"/>
      <c r="C5" s="210"/>
      <c r="D5" s="212"/>
      <c r="E5" s="93"/>
      <c r="F5" s="92" t="s">
        <v>112</v>
      </c>
      <c r="G5" s="119">
        <v>3</v>
      </c>
      <c r="H5" s="120">
        <v>10</v>
      </c>
      <c r="I5" s="119">
        <v>17</v>
      </c>
      <c r="J5" s="120">
        <v>24</v>
      </c>
      <c r="K5" s="121"/>
      <c r="L5" s="119">
        <v>1</v>
      </c>
      <c r="M5" s="120">
        <v>8</v>
      </c>
      <c r="N5" s="120">
        <v>5</v>
      </c>
      <c r="O5" s="120">
        <v>29</v>
      </c>
      <c r="P5" s="122"/>
      <c r="Q5" s="120">
        <v>5</v>
      </c>
      <c r="R5" s="120">
        <v>12</v>
      </c>
      <c r="S5" s="120">
        <v>19</v>
      </c>
      <c r="T5" s="120">
        <v>26</v>
      </c>
      <c r="U5" s="122"/>
      <c r="V5" s="120">
        <v>3</v>
      </c>
      <c r="W5" s="120">
        <v>10</v>
      </c>
      <c r="X5" s="120">
        <v>17</v>
      </c>
      <c r="Y5" s="120">
        <v>24</v>
      </c>
      <c r="Z5" s="120">
        <v>31</v>
      </c>
      <c r="AA5" s="120">
        <v>7</v>
      </c>
      <c r="AB5" s="120">
        <v>14</v>
      </c>
      <c r="AC5" s="120">
        <v>21</v>
      </c>
      <c r="AD5" s="120">
        <v>28</v>
      </c>
      <c r="AE5" s="122"/>
      <c r="AF5" s="120">
        <v>4</v>
      </c>
      <c r="AG5" s="120">
        <v>11</v>
      </c>
      <c r="AH5" s="120">
        <v>18</v>
      </c>
      <c r="AI5" s="120">
        <v>25</v>
      </c>
      <c r="AJ5" s="123"/>
      <c r="AN5" s="275" t="s">
        <v>108</v>
      </c>
      <c r="AO5" s="269" t="s">
        <v>35</v>
      </c>
      <c r="AP5" s="269"/>
      <c r="AQ5" s="269" t="s">
        <v>122</v>
      </c>
      <c r="AR5" s="269"/>
      <c r="AS5" s="269" t="s">
        <v>37</v>
      </c>
      <c r="AT5" s="269"/>
      <c r="AU5" s="269" t="s">
        <v>38</v>
      </c>
      <c r="AV5" s="269"/>
      <c r="AW5" s="269" t="s">
        <v>39</v>
      </c>
      <c r="AX5" s="269"/>
      <c r="AY5" s="269" t="s">
        <v>40</v>
      </c>
      <c r="AZ5" s="269"/>
    </row>
    <row r="6" spans="1:52" ht="25.5" customHeight="1" thickBot="1">
      <c r="A6" s="205"/>
      <c r="B6" s="208"/>
      <c r="C6" s="208"/>
      <c r="D6" s="213"/>
      <c r="E6" s="94"/>
      <c r="F6" s="95" t="s">
        <v>113</v>
      </c>
      <c r="G6" s="124" t="s">
        <v>162</v>
      </c>
      <c r="H6" s="125" t="s">
        <v>162</v>
      </c>
      <c r="I6" s="125" t="s">
        <v>162</v>
      </c>
      <c r="J6" s="125" t="s">
        <v>163</v>
      </c>
      <c r="K6" s="126"/>
      <c r="L6" s="125" t="s">
        <v>163</v>
      </c>
      <c r="M6" s="125" t="s">
        <v>163</v>
      </c>
      <c r="N6" s="125" t="s">
        <v>163</v>
      </c>
      <c r="O6" s="125" t="s">
        <v>163</v>
      </c>
      <c r="P6" s="126"/>
      <c r="Q6" s="125" t="s">
        <v>163</v>
      </c>
      <c r="R6" s="125" t="s">
        <v>163</v>
      </c>
      <c r="S6" s="125" t="s">
        <v>163</v>
      </c>
      <c r="T6" s="125" t="s">
        <v>163</v>
      </c>
      <c r="U6" s="126"/>
      <c r="V6" s="125" t="s">
        <v>163</v>
      </c>
      <c r="W6" s="125" t="s">
        <v>163</v>
      </c>
      <c r="X6" s="125" t="s">
        <v>163</v>
      </c>
      <c r="Y6" s="125" t="s">
        <v>163</v>
      </c>
      <c r="Z6" s="125" t="s">
        <v>163</v>
      </c>
      <c r="AA6" s="125" t="s">
        <v>163</v>
      </c>
      <c r="AB6" s="125" t="s">
        <v>163</v>
      </c>
      <c r="AC6" s="125" t="s">
        <v>163</v>
      </c>
      <c r="AD6" s="125" t="s">
        <v>163</v>
      </c>
      <c r="AE6" s="126"/>
      <c r="AF6" s="125" t="s">
        <v>163</v>
      </c>
      <c r="AG6" s="125" t="s">
        <v>163</v>
      </c>
      <c r="AH6" s="125" t="s">
        <v>163</v>
      </c>
      <c r="AI6" s="125" t="s">
        <v>163</v>
      </c>
      <c r="AJ6" s="127"/>
      <c r="AN6" s="275"/>
      <c r="AO6" s="99" t="s">
        <v>120</v>
      </c>
      <c r="AP6" s="99" t="s">
        <v>121</v>
      </c>
      <c r="AQ6" s="99" t="s">
        <v>120</v>
      </c>
      <c r="AR6" s="99" t="s">
        <v>121</v>
      </c>
      <c r="AS6" s="99" t="s">
        <v>120</v>
      </c>
      <c r="AT6" s="99" t="s">
        <v>121</v>
      </c>
      <c r="AU6" s="99" t="s">
        <v>120</v>
      </c>
      <c r="AV6" s="99" t="s">
        <v>121</v>
      </c>
      <c r="AW6" s="99" t="s">
        <v>120</v>
      </c>
      <c r="AX6" s="99" t="s">
        <v>121</v>
      </c>
      <c r="AY6" s="99" t="s">
        <v>120</v>
      </c>
      <c r="AZ6" s="99" t="s">
        <v>121</v>
      </c>
    </row>
    <row r="7" spans="1:52" ht="32.25" customHeight="1" thickTop="1">
      <c r="A7" s="222">
        <v>1</v>
      </c>
      <c r="B7" s="114" t="s">
        <v>141</v>
      </c>
      <c r="C7" s="226"/>
      <c r="D7" s="228" t="s">
        <v>114</v>
      </c>
      <c r="E7" s="229"/>
      <c r="F7" s="230"/>
      <c r="G7" s="234" t="s">
        <v>164</v>
      </c>
      <c r="H7" s="214" t="s">
        <v>165</v>
      </c>
      <c r="I7" s="214" t="s">
        <v>165</v>
      </c>
      <c r="J7" s="214" t="s">
        <v>165</v>
      </c>
      <c r="K7" s="214" t="s">
        <v>165</v>
      </c>
      <c r="L7" s="214" t="s">
        <v>165</v>
      </c>
      <c r="M7" s="214" t="s">
        <v>165</v>
      </c>
      <c r="N7" s="214" t="s">
        <v>165</v>
      </c>
      <c r="O7" s="214" t="s">
        <v>165</v>
      </c>
      <c r="P7" s="214"/>
      <c r="Q7" s="214"/>
      <c r="R7" s="214"/>
      <c r="S7" s="214"/>
      <c r="T7" s="214"/>
      <c r="U7" s="214"/>
      <c r="V7" s="214" t="s">
        <v>165</v>
      </c>
      <c r="W7" s="214" t="s">
        <v>165</v>
      </c>
      <c r="X7" s="214" t="s">
        <v>165</v>
      </c>
      <c r="Y7" s="214" t="s">
        <v>165</v>
      </c>
      <c r="Z7" s="214" t="s">
        <v>165</v>
      </c>
      <c r="AA7" s="214" t="s">
        <v>165</v>
      </c>
      <c r="AB7" s="214" t="s">
        <v>165</v>
      </c>
      <c r="AC7" s="214" t="s">
        <v>165</v>
      </c>
      <c r="AD7" s="214" t="s">
        <v>165</v>
      </c>
      <c r="AE7" s="214"/>
      <c r="AF7" s="214" t="s">
        <v>165</v>
      </c>
      <c r="AG7" s="214" t="s">
        <v>165</v>
      </c>
      <c r="AH7" s="214" t="s">
        <v>165</v>
      </c>
      <c r="AI7" s="214" t="s">
        <v>165</v>
      </c>
      <c r="AJ7" s="240"/>
      <c r="AN7" s="224" t="str">
        <f>VLOOKUP(B7,利用者名簿!$B:$D,3,FALSE)</f>
        <v>〇</v>
      </c>
      <c r="AO7" s="269" t="str">
        <f>IF(COUNTIF(G7:K8, "○") &gt; 0, "〇", "")</f>
        <v>〇</v>
      </c>
      <c r="AP7" s="269" t="str">
        <f>IF(AND(AO7="〇", AN7="〇" ), "対象", "")</f>
        <v>対象</v>
      </c>
      <c r="AQ7" s="269" t="str">
        <f>IF(COUNTIF(L7:P8, "○") &gt; 0, "〇", "")</f>
        <v>〇</v>
      </c>
      <c r="AR7" s="269" t="str">
        <f>IF(AND(AQ7="〇", AN7="〇" ), "対象", "")</f>
        <v>対象</v>
      </c>
      <c r="AS7" s="269" t="str">
        <f>IF(COUNTIF(Q7:U8, "○") &gt; 0, "〇", "")</f>
        <v/>
      </c>
      <c r="AT7" s="269" t="str">
        <f>IF(AND(AS7="〇", AN7="〇" ), "対象", "")</f>
        <v/>
      </c>
      <c r="AU7" s="269" t="str">
        <f>IF(COUNTIF(V7:Z8, "○") &gt; 0, "〇", "")</f>
        <v>〇</v>
      </c>
      <c r="AV7" s="269" t="str">
        <f>IF(AND(AU7="〇", AN7="〇" ), "対象", "")</f>
        <v>対象</v>
      </c>
      <c r="AW7" s="269" t="str">
        <f>IF(COUNTIF(AA7:AE8, "○") &gt; 0, "〇", "")</f>
        <v>〇</v>
      </c>
      <c r="AX7" s="269" t="str">
        <f>IF(AND(AW7="〇", AN7="〇" ), "対象", "")</f>
        <v>対象</v>
      </c>
      <c r="AY7" s="269" t="str">
        <f>IF(COUNTIF(AF7:AJ8, "○") &gt; 0, "〇", "")</f>
        <v>〇</v>
      </c>
      <c r="AZ7" s="269" t="str">
        <f>IF(AND(AY7="〇", AN7="〇" ), "対象", "")</f>
        <v>対象</v>
      </c>
    </row>
    <row r="8" spans="1:52" ht="24" customHeight="1">
      <c r="A8" s="223"/>
      <c r="B8" s="115" t="s">
        <v>151</v>
      </c>
      <c r="C8" s="227"/>
      <c r="D8" s="231"/>
      <c r="E8" s="232"/>
      <c r="F8" s="233"/>
      <c r="G8" s="23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41"/>
      <c r="AN8" s="225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</row>
    <row r="9" spans="1:52" ht="32.25" customHeight="1">
      <c r="A9" s="238">
        <v>2</v>
      </c>
      <c r="B9" s="116" t="s">
        <v>152</v>
      </c>
      <c r="C9" s="242"/>
      <c r="D9" s="244" t="s">
        <v>114</v>
      </c>
      <c r="E9" s="245"/>
      <c r="F9" s="246"/>
      <c r="G9" s="247" t="s">
        <v>165</v>
      </c>
      <c r="H9" s="220"/>
      <c r="I9" s="220" t="s">
        <v>165</v>
      </c>
      <c r="J9" s="220" t="s">
        <v>165</v>
      </c>
      <c r="K9" s="220" t="s">
        <v>165</v>
      </c>
      <c r="L9" s="220" t="s">
        <v>165</v>
      </c>
      <c r="M9" s="220" t="s">
        <v>165</v>
      </c>
      <c r="N9" s="220" t="s">
        <v>165</v>
      </c>
      <c r="O9" s="220" t="s">
        <v>165</v>
      </c>
      <c r="P9" s="220"/>
      <c r="Q9" s="220" t="s">
        <v>165</v>
      </c>
      <c r="R9" s="220" t="s">
        <v>165</v>
      </c>
      <c r="S9" s="220" t="s">
        <v>165</v>
      </c>
      <c r="T9" s="220" t="s">
        <v>165</v>
      </c>
      <c r="U9" s="220"/>
      <c r="V9" s="220" t="s">
        <v>165</v>
      </c>
      <c r="W9" s="220" t="s">
        <v>165</v>
      </c>
      <c r="X9" s="220" t="s">
        <v>165</v>
      </c>
      <c r="Y9" s="220" t="s">
        <v>165</v>
      </c>
      <c r="Z9" s="220" t="s">
        <v>165</v>
      </c>
      <c r="AA9" s="220" t="s">
        <v>165</v>
      </c>
      <c r="AB9" s="220" t="s">
        <v>165</v>
      </c>
      <c r="AC9" s="220" t="s">
        <v>165</v>
      </c>
      <c r="AD9" s="220" t="s">
        <v>165</v>
      </c>
      <c r="AE9" s="220"/>
      <c r="AF9" s="220" t="s">
        <v>165</v>
      </c>
      <c r="AG9" s="220" t="s">
        <v>165</v>
      </c>
      <c r="AH9" s="220" t="s">
        <v>165</v>
      </c>
      <c r="AI9" s="220" t="s">
        <v>165</v>
      </c>
      <c r="AJ9" s="236"/>
      <c r="AN9" s="249" t="str">
        <f>VLOOKUP(B9,利用者名簿!$B:$D,3,FALSE)</f>
        <v>〇</v>
      </c>
      <c r="AO9" s="269" t="str">
        <f t="shared" ref="AO9" si="0">IF(COUNTIF(G9:K10, "○") &gt; 0, "〇", "")</f>
        <v>〇</v>
      </c>
      <c r="AP9" s="269" t="str">
        <f>IF(AND(AO9="〇", AN9="〇" ), "対象", "")</f>
        <v>対象</v>
      </c>
      <c r="AQ9" s="269" t="str">
        <f t="shared" ref="AQ9" si="1">IF(COUNTIF(L9:P10, "○") &gt; 0, "〇", "")</f>
        <v>〇</v>
      </c>
      <c r="AR9" s="269" t="str">
        <f>IF(AND(AQ9="〇", AN9="〇" ), "対象", "")</f>
        <v>対象</v>
      </c>
      <c r="AS9" s="269" t="str">
        <f t="shared" ref="AS9" si="2">IF(COUNTIF(Q9:U10, "○") &gt; 0, "〇", "")</f>
        <v>〇</v>
      </c>
      <c r="AT9" s="269" t="str">
        <f>IF(AND(AS9="〇", AN9="〇" ), "対象", "")</f>
        <v>対象</v>
      </c>
      <c r="AU9" s="269" t="str">
        <f t="shared" ref="AU9" si="3">IF(COUNTIF(V9:Z10, "○") &gt; 0, "〇", "")</f>
        <v>〇</v>
      </c>
      <c r="AV9" s="269" t="str">
        <f>IF(AND(AU9="〇", AN9="〇" ), "対象", "")</f>
        <v>対象</v>
      </c>
      <c r="AW9" s="269" t="str">
        <f t="shared" ref="AW9" si="4">IF(COUNTIF(AA9:AE10, "○") &gt; 0, "〇", "")</f>
        <v>〇</v>
      </c>
      <c r="AX9" s="269" t="str">
        <f>IF(AND(AW9="〇", AN9="〇" ), "対象", "")</f>
        <v>対象</v>
      </c>
      <c r="AY9" s="269" t="str">
        <f t="shared" ref="AY9" si="5">IF(COUNTIF(AF9:AJ10, "○") &gt; 0, "〇", "")</f>
        <v>〇</v>
      </c>
      <c r="AZ9" s="269" t="str">
        <f>IF(AND(AY9="〇", AN9="〇" ), "対象", "")</f>
        <v>対象</v>
      </c>
    </row>
    <row r="10" spans="1:52" ht="24" customHeight="1">
      <c r="A10" s="239"/>
      <c r="B10" s="115" t="s">
        <v>153</v>
      </c>
      <c r="C10" s="243"/>
      <c r="D10" s="231"/>
      <c r="E10" s="232"/>
      <c r="F10" s="233"/>
      <c r="G10" s="248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37"/>
      <c r="AN10" s="225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</row>
    <row r="11" spans="1:52" ht="32.25" customHeight="1">
      <c r="A11" s="238">
        <v>3</v>
      </c>
      <c r="B11" s="116" t="s">
        <v>154</v>
      </c>
      <c r="C11" s="242"/>
      <c r="D11" s="244" t="s">
        <v>114</v>
      </c>
      <c r="E11" s="245"/>
      <c r="F11" s="246"/>
      <c r="G11" s="247" t="s">
        <v>165</v>
      </c>
      <c r="H11" s="220" t="s">
        <v>165</v>
      </c>
      <c r="I11" s="220"/>
      <c r="J11" s="220" t="s">
        <v>165</v>
      </c>
      <c r="K11" s="220" t="s">
        <v>165</v>
      </c>
      <c r="L11" s="220" t="s">
        <v>165</v>
      </c>
      <c r="M11" s="220" t="s">
        <v>165</v>
      </c>
      <c r="N11" s="220" t="s">
        <v>165</v>
      </c>
      <c r="O11" s="220" t="s">
        <v>165</v>
      </c>
      <c r="P11" s="220"/>
      <c r="Q11" s="220" t="s">
        <v>165</v>
      </c>
      <c r="R11" s="220" t="s">
        <v>165</v>
      </c>
      <c r="S11" s="220" t="s">
        <v>165</v>
      </c>
      <c r="T11" s="220" t="s">
        <v>165</v>
      </c>
      <c r="U11" s="220"/>
      <c r="V11" s="220" t="s">
        <v>165</v>
      </c>
      <c r="W11" s="220" t="s">
        <v>165</v>
      </c>
      <c r="X11" s="220" t="s">
        <v>165</v>
      </c>
      <c r="Y11" s="220" t="s">
        <v>165</v>
      </c>
      <c r="Z11" s="220" t="s">
        <v>165</v>
      </c>
      <c r="AA11" s="220" t="s">
        <v>165</v>
      </c>
      <c r="AB11" s="220" t="s">
        <v>165</v>
      </c>
      <c r="AC11" s="220" t="s">
        <v>165</v>
      </c>
      <c r="AD11" s="220" t="s">
        <v>165</v>
      </c>
      <c r="AE11" s="220"/>
      <c r="AF11" s="220" t="s">
        <v>165</v>
      </c>
      <c r="AG11" s="220" t="s">
        <v>165</v>
      </c>
      <c r="AH11" s="220" t="s">
        <v>165</v>
      </c>
      <c r="AI11" s="220" t="s">
        <v>165</v>
      </c>
      <c r="AJ11" s="236"/>
      <c r="AN11" s="249" t="str">
        <f>VLOOKUP(B11,利用者名簿!$B:$D,3,FALSE)</f>
        <v>〇</v>
      </c>
      <c r="AO11" s="269" t="str">
        <f t="shared" ref="AO11" si="6">IF(COUNTIF(G11:K12, "○") &gt; 0, "〇", "")</f>
        <v>〇</v>
      </c>
      <c r="AP11" s="269" t="str">
        <f>IF(AND(AO11="〇", AN11="〇" ), "対象", "")</f>
        <v>対象</v>
      </c>
      <c r="AQ11" s="269" t="str">
        <f t="shared" ref="AQ11" si="7">IF(COUNTIF(L11:P12, "○") &gt; 0, "〇", "")</f>
        <v>〇</v>
      </c>
      <c r="AR11" s="269" t="str">
        <f>IF(AND(AQ11="〇", AN11="〇" ), "対象", "")</f>
        <v>対象</v>
      </c>
      <c r="AS11" s="269" t="str">
        <f t="shared" ref="AS11" si="8">IF(COUNTIF(Q11:U12, "○") &gt; 0, "〇", "")</f>
        <v>〇</v>
      </c>
      <c r="AT11" s="269" t="str">
        <f>IF(AND(AS11="〇", AN11="〇" ), "対象", "")</f>
        <v>対象</v>
      </c>
      <c r="AU11" s="269" t="str">
        <f t="shared" ref="AU11" si="9">IF(COUNTIF(V11:Z12, "○") &gt; 0, "〇", "")</f>
        <v>〇</v>
      </c>
      <c r="AV11" s="269" t="str">
        <f>IF(AND(AU11="〇", AN11="〇" ), "対象", "")</f>
        <v>対象</v>
      </c>
      <c r="AW11" s="269" t="str">
        <f t="shared" ref="AW11" si="10">IF(COUNTIF(AA11:AE12, "○") &gt; 0, "〇", "")</f>
        <v>〇</v>
      </c>
      <c r="AX11" s="269" t="str">
        <f>IF(AND(AW11="〇", AN11="〇" ), "対象", "")</f>
        <v>対象</v>
      </c>
      <c r="AY11" s="269" t="str">
        <f t="shared" ref="AY11" si="11">IF(COUNTIF(AF11:AJ12, "○") &gt; 0, "〇", "")</f>
        <v>〇</v>
      </c>
      <c r="AZ11" s="269" t="str">
        <f>IF(AND(AY11="〇", AN11="〇" ), "対象", "")</f>
        <v>対象</v>
      </c>
    </row>
    <row r="12" spans="1:52" ht="24" customHeight="1">
      <c r="A12" s="239"/>
      <c r="B12" s="115" t="s">
        <v>155</v>
      </c>
      <c r="C12" s="243"/>
      <c r="D12" s="231"/>
      <c r="E12" s="232"/>
      <c r="F12" s="233"/>
      <c r="G12" s="248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37"/>
      <c r="AN12" s="225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</row>
    <row r="13" spans="1:52" ht="32.25" customHeight="1">
      <c r="A13" s="238">
        <v>4</v>
      </c>
      <c r="B13" s="116" t="s">
        <v>156</v>
      </c>
      <c r="C13" s="242"/>
      <c r="D13" s="244" t="s">
        <v>114</v>
      </c>
      <c r="E13" s="245"/>
      <c r="F13" s="246"/>
      <c r="G13" s="247" t="s">
        <v>165</v>
      </c>
      <c r="H13" s="220" t="s">
        <v>165</v>
      </c>
      <c r="I13" s="220" t="s">
        <v>165</v>
      </c>
      <c r="J13" s="220"/>
      <c r="K13" s="220" t="s">
        <v>165</v>
      </c>
      <c r="L13" s="220" t="s">
        <v>165</v>
      </c>
      <c r="M13" s="220" t="s">
        <v>165</v>
      </c>
      <c r="N13" s="220" t="s">
        <v>165</v>
      </c>
      <c r="O13" s="220" t="s">
        <v>165</v>
      </c>
      <c r="P13" s="220"/>
      <c r="Q13" s="220" t="s">
        <v>165</v>
      </c>
      <c r="R13" s="220" t="s">
        <v>165</v>
      </c>
      <c r="S13" s="220" t="s">
        <v>165</v>
      </c>
      <c r="T13" s="220" t="s">
        <v>165</v>
      </c>
      <c r="U13" s="220"/>
      <c r="V13" s="220" t="s">
        <v>165</v>
      </c>
      <c r="W13" s="220" t="s">
        <v>165</v>
      </c>
      <c r="X13" s="220" t="s">
        <v>165</v>
      </c>
      <c r="Y13" s="220" t="s">
        <v>165</v>
      </c>
      <c r="Z13" s="220" t="s">
        <v>165</v>
      </c>
      <c r="AA13" s="220" t="s">
        <v>165</v>
      </c>
      <c r="AB13" s="220" t="s">
        <v>165</v>
      </c>
      <c r="AC13" s="220" t="s">
        <v>165</v>
      </c>
      <c r="AD13" s="220" t="s">
        <v>165</v>
      </c>
      <c r="AE13" s="220"/>
      <c r="AF13" s="220" t="s">
        <v>165</v>
      </c>
      <c r="AG13" s="220" t="s">
        <v>165</v>
      </c>
      <c r="AH13" s="220" t="s">
        <v>165</v>
      </c>
      <c r="AI13" s="220" t="s">
        <v>165</v>
      </c>
      <c r="AJ13" s="236"/>
      <c r="AN13" s="249" t="str">
        <f>VLOOKUP(B13,利用者名簿!$B:$D,3,FALSE)</f>
        <v>〇</v>
      </c>
      <c r="AO13" s="269" t="str">
        <f t="shared" ref="AO13" si="12">IF(COUNTIF(G13:K14, "○") &gt; 0, "〇", "")</f>
        <v>〇</v>
      </c>
      <c r="AP13" s="269" t="str">
        <f>IF(AND(AO13="〇", AN13="〇" ), "対象", "")</f>
        <v>対象</v>
      </c>
      <c r="AQ13" s="269" t="str">
        <f t="shared" ref="AQ13" si="13">IF(COUNTIF(L13:P14, "○") &gt; 0, "〇", "")</f>
        <v>〇</v>
      </c>
      <c r="AR13" s="269" t="str">
        <f>IF(AND(AQ13="〇", AN13="〇" ), "対象", "")</f>
        <v>対象</v>
      </c>
      <c r="AS13" s="269" t="str">
        <f t="shared" ref="AS13" si="14">IF(COUNTIF(Q13:U14, "○") &gt; 0, "〇", "")</f>
        <v>〇</v>
      </c>
      <c r="AT13" s="269" t="str">
        <f>IF(AND(AS13="〇", AN13="〇" ), "対象", "")</f>
        <v>対象</v>
      </c>
      <c r="AU13" s="269" t="str">
        <f t="shared" ref="AU13" si="15">IF(COUNTIF(V13:Z14, "○") &gt; 0, "〇", "")</f>
        <v>〇</v>
      </c>
      <c r="AV13" s="269" t="str">
        <f>IF(AND(AU13="〇", AN13="〇" ), "対象", "")</f>
        <v>対象</v>
      </c>
      <c r="AW13" s="269" t="str">
        <f t="shared" ref="AW13" si="16">IF(COUNTIF(AA13:AE14, "○") &gt; 0, "〇", "")</f>
        <v>〇</v>
      </c>
      <c r="AX13" s="269" t="str">
        <f>IF(AND(AW13="〇", AN13="〇" ), "対象", "")</f>
        <v>対象</v>
      </c>
      <c r="AY13" s="269" t="str">
        <f t="shared" ref="AY13" si="17">IF(COUNTIF(AF13:AJ14, "○") &gt; 0, "〇", "")</f>
        <v>〇</v>
      </c>
      <c r="AZ13" s="269" t="str">
        <f>IF(AND(AY13="〇", AN13="〇" ), "対象", "")</f>
        <v>対象</v>
      </c>
    </row>
    <row r="14" spans="1:52" ht="24" customHeight="1">
      <c r="A14" s="239"/>
      <c r="B14" s="115" t="s">
        <v>157</v>
      </c>
      <c r="C14" s="243"/>
      <c r="D14" s="231"/>
      <c r="E14" s="232"/>
      <c r="F14" s="233"/>
      <c r="G14" s="248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37"/>
      <c r="AN14" s="225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</row>
    <row r="15" spans="1:52" ht="32.25" customHeight="1">
      <c r="A15" s="238">
        <v>5</v>
      </c>
      <c r="B15" s="116" t="s">
        <v>158</v>
      </c>
      <c r="C15" s="242"/>
      <c r="D15" s="244" t="s">
        <v>114</v>
      </c>
      <c r="E15" s="245"/>
      <c r="F15" s="246"/>
      <c r="G15" s="247" t="s">
        <v>165</v>
      </c>
      <c r="H15" s="220" t="s">
        <v>165</v>
      </c>
      <c r="I15" s="220" t="s">
        <v>165</v>
      </c>
      <c r="J15" s="220" t="s">
        <v>165</v>
      </c>
      <c r="K15" s="220"/>
      <c r="L15" s="220" t="s">
        <v>165</v>
      </c>
      <c r="M15" s="220" t="s">
        <v>165</v>
      </c>
      <c r="N15" s="220" t="s">
        <v>165</v>
      </c>
      <c r="O15" s="220" t="s">
        <v>165</v>
      </c>
      <c r="P15" s="220"/>
      <c r="Q15" s="220" t="s">
        <v>165</v>
      </c>
      <c r="R15" s="220" t="s">
        <v>165</v>
      </c>
      <c r="S15" s="220" t="s">
        <v>165</v>
      </c>
      <c r="T15" s="220" t="s">
        <v>165</v>
      </c>
      <c r="U15" s="220"/>
      <c r="V15" s="220" t="s">
        <v>165</v>
      </c>
      <c r="W15" s="220" t="s">
        <v>165</v>
      </c>
      <c r="X15" s="220" t="s">
        <v>165</v>
      </c>
      <c r="Y15" s="220" t="s">
        <v>165</v>
      </c>
      <c r="Z15" s="220" t="s">
        <v>165</v>
      </c>
      <c r="AA15" s="220" t="s">
        <v>165</v>
      </c>
      <c r="AB15" s="220" t="s">
        <v>165</v>
      </c>
      <c r="AC15" s="220" t="s">
        <v>165</v>
      </c>
      <c r="AD15" s="220" t="s">
        <v>165</v>
      </c>
      <c r="AE15" s="220"/>
      <c r="AF15" s="220" t="s">
        <v>165</v>
      </c>
      <c r="AG15" s="220" t="s">
        <v>165</v>
      </c>
      <c r="AH15" s="220" t="s">
        <v>165</v>
      </c>
      <c r="AI15" s="220" t="s">
        <v>165</v>
      </c>
      <c r="AJ15" s="236"/>
      <c r="AN15" s="249" t="str">
        <f>VLOOKUP(B15,利用者名簿!$B:$D,3,FALSE)</f>
        <v>〇</v>
      </c>
      <c r="AO15" s="269" t="str">
        <f t="shared" ref="AO15" si="18">IF(COUNTIF(G15:K16, "○") &gt; 0, "〇", "")</f>
        <v>〇</v>
      </c>
      <c r="AP15" s="269" t="str">
        <f>IF(AND(AO15="〇", AN15="〇" ), "対象", "")</f>
        <v>対象</v>
      </c>
      <c r="AQ15" s="269" t="str">
        <f t="shared" ref="AQ15" si="19">IF(COUNTIF(L15:P16, "○") &gt; 0, "〇", "")</f>
        <v>〇</v>
      </c>
      <c r="AR15" s="269" t="str">
        <f>IF(AND(AQ15="〇", AN15="〇" ), "対象", "")</f>
        <v>対象</v>
      </c>
      <c r="AS15" s="269" t="str">
        <f t="shared" ref="AS15" si="20">IF(COUNTIF(Q15:U16, "○") &gt; 0, "〇", "")</f>
        <v>〇</v>
      </c>
      <c r="AT15" s="269" t="str">
        <f>IF(AND(AS15="〇", AN15="〇" ), "対象", "")</f>
        <v>対象</v>
      </c>
      <c r="AU15" s="269" t="str">
        <f t="shared" ref="AU15" si="21">IF(COUNTIF(V15:Z16, "○") &gt; 0, "〇", "")</f>
        <v>〇</v>
      </c>
      <c r="AV15" s="269" t="str">
        <f>IF(AND(AU15="〇", AN15="〇" ), "対象", "")</f>
        <v>対象</v>
      </c>
      <c r="AW15" s="269" t="str">
        <f t="shared" ref="AW15" si="22">IF(COUNTIF(AA15:AE16, "○") &gt; 0, "〇", "")</f>
        <v>〇</v>
      </c>
      <c r="AX15" s="269" t="str">
        <f>IF(AND(AW15="〇", AN15="〇" ), "対象", "")</f>
        <v>対象</v>
      </c>
      <c r="AY15" s="269" t="str">
        <f t="shared" ref="AY15" si="23">IF(COUNTIF(AF15:AJ16, "○") &gt; 0, "〇", "")</f>
        <v>〇</v>
      </c>
      <c r="AZ15" s="269" t="str">
        <f>IF(AND(AY15="〇", AN15="〇" ), "対象", "")</f>
        <v>対象</v>
      </c>
    </row>
    <row r="16" spans="1:52" ht="24" customHeight="1">
      <c r="A16" s="239"/>
      <c r="B16" s="115" t="s">
        <v>159</v>
      </c>
      <c r="C16" s="243"/>
      <c r="D16" s="231"/>
      <c r="E16" s="232"/>
      <c r="F16" s="233"/>
      <c r="G16" s="248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37"/>
      <c r="AN16" s="225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</row>
    <row r="17" spans="1:52" ht="32.25" customHeight="1">
      <c r="A17" s="238">
        <v>6</v>
      </c>
      <c r="B17" s="116" t="s">
        <v>160</v>
      </c>
      <c r="C17" s="242"/>
      <c r="D17" s="244" t="s">
        <v>114</v>
      </c>
      <c r="E17" s="245"/>
      <c r="F17" s="246"/>
      <c r="G17" s="247" t="s">
        <v>165</v>
      </c>
      <c r="H17" s="220" t="s">
        <v>165</v>
      </c>
      <c r="I17" s="220" t="s">
        <v>165</v>
      </c>
      <c r="J17" s="220" t="s">
        <v>165</v>
      </c>
      <c r="K17" s="220" t="s">
        <v>165</v>
      </c>
      <c r="L17" s="220"/>
      <c r="M17" s="220" t="s">
        <v>165</v>
      </c>
      <c r="N17" s="220" t="s">
        <v>165</v>
      </c>
      <c r="O17" s="220"/>
      <c r="P17" s="220"/>
      <c r="Q17" s="220" t="s">
        <v>165</v>
      </c>
      <c r="R17" s="220" t="s">
        <v>165</v>
      </c>
      <c r="S17" s="220" t="s">
        <v>165</v>
      </c>
      <c r="T17" s="220" t="s">
        <v>165</v>
      </c>
      <c r="U17" s="220"/>
      <c r="V17" s="220" t="s">
        <v>165</v>
      </c>
      <c r="W17" s="220" t="s">
        <v>165</v>
      </c>
      <c r="X17" s="220"/>
      <c r="Y17" s="220" t="s">
        <v>165</v>
      </c>
      <c r="Z17" s="220" t="s">
        <v>165</v>
      </c>
      <c r="AA17" s="220" t="s">
        <v>165</v>
      </c>
      <c r="AB17" s="220" t="s">
        <v>165</v>
      </c>
      <c r="AC17" s="220" t="s">
        <v>165</v>
      </c>
      <c r="AD17" s="220" t="s">
        <v>165</v>
      </c>
      <c r="AE17" s="220"/>
      <c r="AF17" s="220" t="s">
        <v>165</v>
      </c>
      <c r="AG17" s="220" t="s">
        <v>165</v>
      </c>
      <c r="AH17" s="220" t="s">
        <v>165</v>
      </c>
      <c r="AI17" s="220" t="s">
        <v>165</v>
      </c>
      <c r="AJ17" s="236"/>
      <c r="AN17" s="249" t="str">
        <f>VLOOKUP(B17,利用者名簿!$B:$D,3,FALSE)</f>
        <v/>
      </c>
      <c r="AO17" s="269" t="str">
        <f t="shared" ref="AO17" si="24">IF(COUNTIF(G17:K18, "○") &gt; 0, "〇", "")</f>
        <v>〇</v>
      </c>
      <c r="AP17" s="269" t="str">
        <f>IF(AND(AO17="〇", AN17="〇" ), "対象", "")</f>
        <v/>
      </c>
      <c r="AQ17" s="269" t="str">
        <f t="shared" ref="AQ17" si="25">IF(COUNTIF(L17:P18, "○") &gt; 0, "〇", "")</f>
        <v>〇</v>
      </c>
      <c r="AR17" s="269" t="str">
        <f>IF(AND(AQ17="〇", AN17="〇" ), "対象", "")</f>
        <v/>
      </c>
      <c r="AS17" s="269" t="str">
        <f t="shared" ref="AS17" si="26">IF(COUNTIF(Q17:U18, "○") &gt; 0, "〇", "")</f>
        <v>〇</v>
      </c>
      <c r="AT17" s="269" t="str">
        <f>IF(AND(AS17="〇", AN17="〇" ), "対象", "")</f>
        <v/>
      </c>
      <c r="AU17" s="269" t="str">
        <f t="shared" ref="AU17" si="27">IF(COUNTIF(V17:Z18, "○") &gt; 0, "〇", "")</f>
        <v>〇</v>
      </c>
      <c r="AV17" s="269" t="str">
        <f>IF(AND(AU17="〇", AN17="〇" ), "対象", "")</f>
        <v/>
      </c>
      <c r="AW17" s="269" t="str">
        <f t="shared" ref="AW17" si="28">IF(COUNTIF(AA17:AE18, "○") &gt; 0, "〇", "")</f>
        <v>〇</v>
      </c>
      <c r="AX17" s="269" t="str">
        <f>IF(AND(AW17="〇", AN17="〇" ), "対象", "")</f>
        <v/>
      </c>
      <c r="AY17" s="269" t="str">
        <f t="shared" ref="AY17" si="29">IF(COUNTIF(AF17:AJ18, "○") &gt; 0, "〇", "")</f>
        <v>〇</v>
      </c>
      <c r="AZ17" s="269" t="str">
        <f>IF(AND(AY17="〇", AN17="〇" ), "対象", "")</f>
        <v/>
      </c>
    </row>
    <row r="18" spans="1:52" ht="24" customHeight="1">
      <c r="A18" s="239"/>
      <c r="B18" s="115" t="s">
        <v>115</v>
      </c>
      <c r="C18" s="243"/>
      <c r="D18" s="231"/>
      <c r="E18" s="232"/>
      <c r="F18" s="233"/>
      <c r="G18" s="250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73"/>
      <c r="AN18" s="225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</row>
    <row r="19" spans="1:52" ht="32.25" customHeight="1">
      <c r="A19" s="238">
        <v>7</v>
      </c>
      <c r="B19" s="116" t="s">
        <v>161</v>
      </c>
      <c r="C19" s="242"/>
      <c r="D19" s="244" t="s">
        <v>114</v>
      </c>
      <c r="E19" s="245"/>
      <c r="F19" s="246"/>
      <c r="G19" s="247" t="s">
        <v>165</v>
      </c>
      <c r="H19" s="220" t="s">
        <v>165</v>
      </c>
      <c r="I19" s="220" t="s">
        <v>165</v>
      </c>
      <c r="J19" s="220" t="s">
        <v>165</v>
      </c>
      <c r="K19" s="220" t="s">
        <v>165</v>
      </c>
      <c r="L19" s="220" t="s">
        <v>165</v>
      </c>
      <c r="M19" s="220"/>
      <c r="N19" s="220" t="s">
        <v>165</v>
      </c>
      <c r="O19" s="220"/>
      <c r="P19" s="220"/>
      <c r="Q19" s="220" t="s">
        <v>165</v>
      </c>
      <c r="R19" s="220" t="s">
        <v>165</v>
      </c>
      <c r="S19" s="220" t="s">
        <v>165</v>
      </c>
      <c r="T19" s="220" t="s">
        <v>165</v>
      </c>
      <c r="U19" s="220"/>
      <c r="V19" s="220" t="s">
        <v>165</v>
      </c>
      <c r="W19" s="220" t="s">
        <v>165</v>
      </c>
      <c r="X19" s="220"/>
      <c r="Y19" s="220" t="s">
        <v>165</v>
      </c>
      <c r="Z19" s="220" t="s">
        <v>165</v>
      </c>
      <c r="AA19" s="220" t="s">
        <v>165</v>
      </c>
      <c r="AB19" s="220" t="s">
        <v>165</v>
      </c>
      <c r="AC19" s="220" t="s">
        <v>165</v>
      </c>
      <c r="AD19" s="220" t="s">
        <v>165</v>
      </c>
      <c r="AE19" s="220"/>
      <c r="AF19" s="220" t="s">
        <v>165</v>
      </c>
      <c r="AG19" s="220" t="s">
        <v>165</v>
      </c>
      <c r="AH19" s="220" t="s">
        <v>165</v>
      </c>
      <c r="AI19" s="220" t="s">
        <v>165</v>
      </c>
      <c r="AJ19" s="236"/>
      <c r="AN19" s="249" t="str">
        <f>VLOOKUP(B19,利用者名簿!$B:$D,3,FALSE)</f>
        <v/>
      </c>
      <c r="AO19" s="269" t="str">
        <f t="shared" ref="AO19" si="30">IF(COUNTIF(G19:K20, "○") &gt; 0, "〇", "")</f>
        <v>〇</v>
      </c>
      <c r="AP19" s="269" t="str">
        <f>IF(AND(AO19="〇", AN19="〇" ), "対象", "")</f>
        <v/>
      </c>
      <c r="AQ19" s="269" t="str">
        <f t="shared" ref="AQ19" si="31">IF(COUNTIF(L19:P20, "○") &gt; 0, "〇", "")</f>
        <v>〇</v>
      </c>
      <c r="AR19" s="269" t="str">
        <f>IF(AND(AQ19="〇", AN19="〇" ), "対象", "")</f>
        <v/>
      </c>
      <c r="AS19" s="269" t="str">
        <f t="shared" ref="AS19" si="32">IF(COUNTIF(Q19:U20, "○") &gt; 0, "〇", "")</f>
        <v>〇</v>
      </c>
      <c r="AT19" s="269" t="str">
        <f>IF(AND(AS19="〇", AN19="〇" ), "対象", "")</f>
        <v/>
      </c>
      <c r="AU19" s="269" t="str">
        <f t="shared" ref="AU19" si="33">IF(COUNTIF(V19:Z20, "○") &gt; 0, "〇", "")</f>
        <v>〇</v>
      </c>
      <c r="AV19" s="269" t="str">
        <f>IF(AND(AU19="〇", AN19="〇" ), "対象", "")</f>
        <v/>
      </c>
      <c r="AW19" s="269" t="str">
        <f t="shared" ref="AW19" si="34">IF(COUNTIF(AA19:AE20, "○") &gt; 0, "〇", "")</f>
        <v>〇</v>
      </c>
      <c r="AX19" s="269" t="str">
        <f>IF(AND(AW19="〇", AN19="〇" ), "対象", "")</f>
        <v/>
      </c>
      <c r="AY19" s="269" t="str">
        <f t="shared" ref="AY19" si="35">IF(COUNTIF(AF19:AJ20, "○") &gt; 0, "〇", "")</f>
        <v>〇</v>
      </c>
      <c r="AZ19" s="269" t="str">
        <f>IF(AND(AY19="〇", AN19="〇" ), "対象", "")</f>
        <v/>
      </c>
    </row>
    <row r="20" spans="1:52" ht="24" customHeight="1">
      <c r="A20" s="239"/>
      <c r="B20" s="115" t="s">
        <v>115</v>
      </c>
      <c r="C20" s="243"/>
      <c r="D20" s="231"/>
      <c r="E20" s="232"/>
      <c r="F20" s="233"/>
      <c r="G20" s="250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73"/>
      <c r="AN20" s="225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</row>
    <row r="21" spans="1:52" ht="32.25" customHeight="1">
      <c r="A21" s="238">
        <v>8</v>
      </c>
      <c r="B21" s="117"/>
      <c r="C21" s="242"/>
      <c r="D21" s="244" t="s">
        <v>114</v>
      </c>
      <c r="E21" s="245"/>
      <c r="F21" s="246"/>
      <c r="G21" s="251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5"/>
      <c r="AJ21" s="257"/>
      <c r="AN21" s="249" t="e">
        <f>VLOOKUP(B21,利用者名簿!$B:$D,3,FALSE)</f>
        <v>#N/A</v>
      </c>
      <c r="AO21" s="269" t="str">
        <f t="shared" ref="AO21" si="36">IF(COUNTIF(G21:K22, "○") &gt; 0, "〇", "")</f>
        <v/>
      </c>
      <c r="AP21" s="269" t="e">
        <f>IF(AND(AO21="〇", AN21="〇" ), "対象", "")</f>
        <v>#N/A</v>
      </c>
      <c r="AQ21" s="269" t="str">
        <f t="shared" ref="AQ21" si="37">IF(COUNTIF(L21:P22, "○") &gt; 0, "〇", "")</f>
        <v/>
      </c>
      <c r="AR21" s="269" t="e">
        <f>IF(AND(AQ21="〇", AN21="〇" ), "対象", "")</f>
        <v>#N/A</v>
      </c>
      <c r="AS21" s="269" t="str">
        <f t="shared" ref="AS21" si="38">IF(COUNTIF(Q21:U22, "○") &gt; 0, "〇", "")</f>
        <v/>
      </c>
      <c r="AT21" s="269" t="e">
        <f>IF(AND(AS21="〇", AN21="〇" ), "対象", "")</f>
        <v>#N/A</v>
      </c>
      <c r="AU21" s="269" t="str">
        <f t="shared" ref="AU21" si="39">IF(COUNTIF(V21:Z22, "○") &gt; 0, "〇", "")</f>
        <v/>
      </c>
      <c r="AV21" s="269" t="e">
        <f>IF(AND(AU21="〇", AN21="〇" ), "対象", "")</f>
        <v>#N/A</v>
      </c>
      <c r="AW21" s="269" t="str">
        <f t="shared" ref="AW21" si="40">IF(COUNTIF(AA21:AE22, "○") &gt; 0, "〇", "")</f>
        <v/>
      </c>
      <c r="AX21" s="269" t="e">
        <f>IF(AND(AW21="〇", AN21="〇" ), "対象", "")</f>
        <v>#N/A</v>
      </c>
      <c r="AY21" s="269" t="str">
        <f t="shared" ref="AY21" si="41">IF(COUNTIF(AF21:AJ22, "○") &gt; 0, "〇", "")</f>
        <v/>
      </c>
      <c r="AZ21" s="269" t="e">
        <f>IF(AND(AY21="〇", AN21="〇" ), "対象", "")</f>
        <v>#N/A</v>
      </c>
    </row>
    <row r="22" spans="1:52" ht="24" customHeight="1">
      <c r="A22" s="239"/>
      <c r="B22" s="115" t="s">
        <v>115</v>
      </c>
      <c r="C22" s="243"/>
      <c r="D22" s="231"/>
      <c r="E22" s="232"/>
      <c r="F22" s="233"/>
      <c r="G22" s="252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6"/>
      <c r="AJ22" s="258"/>
      <c r="AN22" s="225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</row>
    <row r="23" spans="1:52" ht="32.25" customHeight="1">
      <c r="A23" s="238">
        <v>9</v>
      </c>
      <c r="B23" s="117"/>
      <c r="C23" s="242"/>
      <c r="D23" s="244" t="s">
        <v>114</v>
      </c>
      <c r="E23" s="245"/>
      <c r="F23" s="246"/>
      <c r="G23" s="251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5"/>
      <c r="AJ23" s="257"/>
      <c r="AN23" s="249" t="e">
        <f>VLOOKUP(B23,利用者名簿!$B:$D,3,FALSE)</f>
        <v>#N/A</v>
      </c>
      <c r="AO23" s="269" t="str">
        <f t="shared" ref="AO23" si="42">IF(COUNTIF(G23:K24, "○") &gt; 0, "〇", "")</f>
        <v/>
      </c>
      <c r="AP23" s="269" t="e">
        <f>IF(AND(AO23="〇", AN23="〇" ), "対象", "")</f>
        <v>#N/A</v>
      </c>
      <c r="AQ23" s="269" t="str">
        <f t="shared" ref="AQ23" si="43">IF(COUNTIF(L23:P24, "○") &gt; 0, "〇", "")</f>
        <v/>
      </c>
      <c r="AR23" s="269" t="e">
        <f>IF(AND(AQ23="〇", AN23="〇" ), "対象", "")</f>
        <v>#N/A</v>
      </c>
      <c r="AS23" s="269" t="str">
        <f t="shared" ref="AS23" si="44">IF(COUNTIF(Q23:U24, "○") &gt; 0, "〇", "")</f>
        <v/>
      </c>
      <c r="AT23" s="269" t="e">
        <f>IF(AND(AS23="〇", AN23="〇" ), "対象", "")</f>
        <v>#N/A</v>
      </c>
      <c r="AU23" s="269" t="str">
        <f t="shared" ref="AU23" si="45">IF(COUNTIF(V23:Z24, "○") &gt; 0, "〇", "")</f>
        <v/>
      </c>
      <c r="AV23" s="269" t="e">
        <f>IF(AND(AU23="〇", AN23="〇" ), "対象", "")</f>
        <v>#N/A</v>
      </c>
      <c r="AW23" s="269" t="str">
        <f t="shared" ref="AW23" si="46">IF(COUNTIF(AA23:AE24, "○") &gt; 0, "〇", "")</f>
        <v/>
      </c>
      <c r="AX23" s="269" t="e">
        <f>IF(AND(AW23="〇", AN23="〇" ), "対象", "")</f>
        <v>#N/A</v>
      </c>
      <c r="AY23" s="269" t="str">
        <f t="shared" ref="AY23" si="47">IF(COUNTIF(AF23:AJ24, "○") &gt; 0, "〇", "")</f>
        <v/>
      </c>
      <c r="AZ23" s="269" t="e">
        <f>IF(AND(AY23="〇", AN23="〇" ), "対象", "")</f>
        <v>#N/A</v>
      </c>
    </row>
    <row r="24" spans="1:52" ht="24" customHeight="1">
      <c r="A24" s="239"/>
      <c r="B24" s="115" t="s">
        <v>115</v>
      </c>
      <c r="C24" s="243"/>
      <c r="D24" s="231"/>
      <c r="E24" s="232"/>
      <c r="F24" s="233"/>
      <c r="G24" s="252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6"/>
      <c r="AJ24" s="258"/>
      <c r="AN24" s="225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</row>
    <row r="25" spans="1:52" ht="32.25" customHeight="1">
      <c r="A25" s="238">
        <v>10</v>
      </c>
      <c r="B25" s="117"/>
      <c r="C25" s="242"/>
      <c r="D25" s="244" t="s">
        <v>114</v>
      </c>
      <c r="E25" s="245"/>
      <c r="F25" s="246"/>
      <c r="G25" s="251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5"/>
      <c r="AJ25" s="257"/>
      <c r="AN25" s="249" t="e">
        <f>VLOOKUP(B25,利用者名簿!$B:$D,3,FALSE)</f>
        <v>#N/A</v>
      </c>
      <c r="AO25" s="269" t="str">
        <f t="shared" ref="AO25" si="48">IF(COUNTIF(G25:K26, "○") &gt; 0, "〇", "")</f>
        <v/>
      </c>
      <c r="AP25" s="269" t="e">
        <f>IF(AND(AO25="〇", AN25="〇" ), "対象", "")</f>
        <v>#N/A</v>
      </c>
      <c r="AQ25" s="269" t="str">
        <f t="shared" ref="AQ25" si="49">IF(COUNTIF(L25:P26, "○") &gt; 0, "〇", "")</f>
        <v/>
      </c>
      <c r="AR25" s="269" t="e">
        <f>IF(AND(AQ25="〇", AN25="〇" ), "対象", "")</f>
        <v>#N/A</v>
      </c>
      <c r="AS25" s="269" t="str">
        <f t="shared" ref="AS25" si="50">IF(COUNTIF(Q25:U26, "○") &gt; 0, "〇", "")</f>
        <v/>
      </c>
      <c r="AT25" s="269" t="e">
        <f>IF(AND(AS25="〇", AN25="〇" ), "対象", "")</f>
        <v>#N/A</v>
      </c>
      <c r="AU25" s="269" t="str">
        <f t="shared" ref="AU25" si="51">IF(COUNTIF(V25:Z26, "○") &gt; 0, "〇", "")</f>
        <v/>
      </c>
      <c r="AV25" s="269" t="e">
        <f>IF(AND(AU25="〇", AN25="〇" ), "対象", "")</f>
        <v>#N/A</v>
      </c>
      <c r="AW25" s="269" t="str">
        <f t="shared" ref="AW25" si="52">IF(COUNTIF(AA25:AE26, "○") &gt; 0, "〇", "")</f>
        <v/>
      </c>
      <c r="AX25" s="269" t="e">
        <f>IF(AND(AW25="〇", AN25="〇" ), "対象", "")</f>
        <v>#N/A</v>
      </c>
      <c r="AY25" s="269" t="str">
        <f t="shared" ref="AY25" si="53">IF(COUNTIF(AF25:AJ26, "○") &gt; 0, "〇", "")</f>
        <v/>
      </c>
      <c r="AZ25" s="269" t="e">
        <f>IF(AND(AY25="〇", AN25="〇" ), "対象", "")</f>
        <v>#N/A</v>
      </c>
    </row>
    <row r="26" spans="1:52" ht="24" customHeight="1" thickBot="1">
      <c r="A26" s="259"/>
      <c r="B26" s="118" t="s">
        <v>115</v>
      </c>
      <c r="C26" s="260"/>
      <c r="D26" s="261"/>
      <c r="E26" s="262"/>
      <c r="F26" s="263"/>
      <c r="G26" s="264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7"/>
      <c r="AJ26" s="268"/>
      <c r="AN26" s="224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</row>
    <row r="27" spans="1:52" ht="40.5" customHeight="1" thickTop="1">
      <c r="A27" s="270" t="s">
        <v>116</v>
      </c>
      <c r="B27" s="271"/>
      <c r="C27" s="271"/>
      <c r="D27" s="271"/>
      <c r="E27" s="271"/>
      <c r="F27" s="272"/>
      <c r="G27" s="103"/>
      <c r="H27" s="96"/>
      <c r="I27" s="97"/>
      <c r="J27" s="96"/>
      <c r="K27" s="97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6"/>
      <c r="AK27" s="102"/>
      <c r="AL27" s="100"/>
      <c r="AM27" s="100"/>
      <c r="AN27" s="99"/>
      <c r="AO27" s="99"/>
      <c r="AP27" s="99">
        <f>COUNTIF(AP7:AP26, "対象")</f>
        <v>5</v>
      </c>
      <c r="AQ27" s="99"/>
      <c r="AR27" s="99">
        <f t="shared" ref="AR27" si="54">COUNTIF(AR7:AR26, "対象")</f>
        <v>5</v>
      </c>
      <c r="AS27" s="99"/>
      <c r="AT27" s="99">
        <f t="shared" ref="AT27" si="55">COUNTIF(AT7:AT26, "対象")</f>
        <v>4</v>
      </c>
      <c r="AU27" s="99"/>
      <c r="AV27" s="99">
        <f t="shared" ref="AV27" si="56">COUNTIF(AV7:AV26, "対象")</f>
        <v>5</v>
      </c>
      <c r="AW27" s="99"/>
      <c r="AX27" s="99">
        <f>COUNTIF(AX7:AX26, "対象")</f>
        <v>5</v>
      </c>
      <c r="AY27" s="99"/>
      <c r="AZ27" s="99">
        <f t="shared" ref="AZ27" si="57">COUNTIF(AZ7:AZ26, "対象")</f>
        <v>5</v>
      </c>
    </row>
    <row r="28" spans="1:52" ht="18" customHeight="1">
      <c r="A28" s="265" t="s">
        <v>117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98"/>
      <c r="AM28" s="98"/>
    </row>
    <row r="29" spans="1:52" ht="18" customHeight="1">
      <c r="A29" s="265" t="s">
        <v>118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98"/>
      <c r="AM29" s="98"/>
    </row>
    <row r="30" spans="1:52" ht="18" customHeight="1">
      <c r="A30" s="265" t="s">
        <v>119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98"/>
      <c r="AM30" s="98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EEF2-BC69-49A4-8A85-E3AB9DBD4DFA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7" customWidth="1"/>
    <col min="2" max="2" width="27.625" style="77" customWidth="1"/>
    <col min="3" max="3" width="7.125" style="77" bestFit="1" customWidth="1"/>
    <col min="4" max="4" width="7.25" style="77" customWidth="1"/>
    <col min="5" max="5" width="1.25" style="78" customWidth="1"/>
    <col min="6" max="6" width="6" style="78" customWidth="1"/>
    <col min="7" max="7" width="4.375" style="78" customWidth="1"/>
    <col min="8" max="39" width="4.375" style="77" customWidth="1"/>
    <col min="40" max="16384" width="9" style="77"/>
  </cols>
  <sheetData>
    <row r="1" spans="1:52" ht="21.75" customHeight="1">
      <c r="A1" s="76"/>
      <c r="AK1" s="79" t="s">
        <v>104</v>
      </c>
      <c r="AL1" s="79"/>
      <c r="AM1" s="79"/>
    </row>
    <row r="2" spans="1:52" s="85" customFormat="1" ht="24" customHeight="1">
      <c r="A2" s="80" t="s">
        <v>203</v>
      </c>
      <c r="B2" s="80"/>
      <c r="C2" s="80"/>
      <c r="D2" s="81" t="s">
        <v>166</v>
      </c>
      <c r="E2" s="82"/>
      <c r="F2" s="202" t="s">
        <v>140</v>
      </c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83"/>
      <c r="AA2" s="202" t="s">
        <v>106</v>
      </c>
      <c r="AB2" s="202"/>
      <c r="AC2" s="202"/>
      <c r="AD2" s="104" t="str">
        <f>利用者名簿!G26</f>
        <v>●●●会</v>
      </c>
      <c r="AE2" s="84"/>
      <c r="AF2" s="84"/>
      <c r="AG2" s="84"/>
      <c r="AH2" s="84"/>
      <c r="AI2" s="84"/>
      <c r="AJ2" s="84"/>
      <c r="AK2" s="84"/>
      <c r="AL2" s="101"/>
      <c r="AM2" s="101"/>
    </row>
    <row r="3" spans="1:52" ht="7.5" customHeight="1">
      <c r="A3" s="86"/>
      <c r="B3" s="86"/>
      <c r="C3" s="86"/>
      <c r="D3" s="87"/>
      <c r="E3" s="87"/>
      <c r="F3" s="87"/>
      <c r="G3" s="87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AA3" s="88"/>
      <c r="AB3" s="88"/>
      <c r="AC3" s="88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52" ht="25.5" customHeight="1">
      <c r="A4" s="203"/>
      <c r="B4" s="206" t="s">
        <v>107</v>
      </c>
      <c r="C4" s="209" t="s">
        <v>109</v>
      </c>
      <c r="D4" s="211" t="s">
        <v>110</v>
      </c>
      <c r="E4" s="91"/>
      <c r="F4" s="92" t="s">
        <v>111</v>
      </c>
      <c r="G4" s="216">
        <v>10</v>
      </c>
      <c r="H4" s="217"/>
      <c r="I4" s="217"/>
      <c r="J4" s="217"/>
      <c r="K4" s="218"/>
      <c r="L4" s="219">
        <v>11</v>
      </c>
      <c r="M4" s="217"/>
      <c r="N4" s="217"/>
      <c r="O4" s="217"/>
      <c r="P4" s="218"/>
      <c r="Q4" s="219">
        <v>12</v>
      </c>
      <c r="R4" s="217"/>
      <c r="S4" s="217"/>
      <c r="T4" s="217"/>
      <c r="U4" s="218"/>
      <c r="V4" s="219">
        <v>1</v>
      </c>
      <c r="W4" s="217"/>
      <c r="X4" s="217"/>
      <c r="Y4" s="217"/>
      <c r="Z4" s="218"/>
      <c r="AA4" s="219">
        <v>2</v>
      </c>
      <c r="AB4" s="217"/>
      <c r="AC4" s="217"/>
      <c r="AD4" s="217"/>
      <c r="AE4" s="218"/>
      <c r="AF4" s="219">
        <v>3</v>
      </c>
      <c r="AG4" s="217"/>
      <c r="AH4" s="217"/>
      <c r="AI4" s="217"/>
      <c r="AJ4" s="274"/>
    </row>
    <row r="5" spans="1:52" ht="25.5" customHeight="1">
      <c r="A5" s="204"/>
      <c r="B5" s="207"/>
      <c r="C5" s="210"/>
      <c r="D5" s="212"/>
      <c r="E5" s="93"/>
      <c r="F5" s="92" t="s">
        <v>112</v>
      </c>
      <c r="G5" s="119">
        <v>2</v>
      </c>
      <c r="H5" s="120">
        <v>9</v>
      </c>
      <c r="I5" s="119">
        <v>16</v>
      </c>
      <c r="J5" s="120">
        <v>23</v>
      </c>
      <c r="K5" s="119">
        <v>30</v>
      </c>
      <c r="L5" s="120">
        <v>6</v>
      </c>
      <c r="M5" s="120">
        <v>13</v>
      </c>
      <c r="N5" s="120">
        <v>20</v>
      </c>
      <c r="O5" s="120">
        <v>27</v>
      </c>
      <c r="P5" s="120"/>
      <c r="Q5" s="120">
        <v>4</v>
      </c>
      <c r="R5" s="120">
        <v>11</v>
      </c>
      <c r="S5" s="120">
        <v>18</v>
      </c>
      <c r="T5" s="120">
        <v>25</v>
      </c>
      <c r="U5" s="120"/>
      <c r="V5" s="120">
        <v>8</v>
      </c>
      <c r="W5" s="120">
        <v>15</v>
      </c>
      <c r="X5" s="120">
        <v>22</v>
      </c>
      <c r="Y5" s="120">
        <v>29</v>
      </c>
      <c r="Z5" s="120"/>
      <c r="AA5" s="120">
        <v>5</v>
      </c>
      <c r="AB5" s="120">
        <v>12</v>
      </c>
      <c r="AC5" s="120">
        <v>19</v>
      </c>
      <c r="AD5" s="120">
        <v>26</v>
      </c>
      <c r="AE5" s="120"/>
      <c r="AF5" s="120">
        <v>5</v>
      </c>
      <c r="AG5" s="120">
        <v>12</v>
      </c>
      <c r="AH5" s="120">
        <v>19</v>
      </c>
      <c r="AI5" s="129">
        <v>26</v>
      </c>
      <c r="AJ5" s="130"/>
      <c r="AK5" s="105"/>
      <c r="AN5" s="275" t="s">
        <v>108</v>
      </c>
      <c r="AO5" s="269" t="s">
        <v>123</v>
      </c>
      <c r="AP5" s="269"/>
      <c r="AQ5" s="269" t="s">
        <v>124</v>
      </c>
      <c r="AR5" s="269"/>
      <c r="AS5" s="269" t="s">
        <v>125</v>
      </c>
      <c r="AT5" s="269"/>
      <c r="AU5" s="269" t="s">
        <v>45</v>
      </c>
      <c r="AV5" s="269"/>
      <c r="AW5" s="269" t="s">
        <v>47</v>
      </c>
      <c r="AX5" s="269"/>
      <c r="AY5" s="269" t="s">
        <v>49</v>
      </c>
      <c r="AZ5" s="269"/>
    </row>
    <row r="6" spans="1:52" ht="25.5" customHeight="1" thickBot="1">
      <c r="A6" s="205"/>
      <c r="B6" s="208"/>
      <c r="C6" s="208"/>
      <c r="D6" s="213"/>
      <c r="E6" s="94"/>
      <c r="F6" s="95" t="s">
        <v>113</v>
      </c>
      <c r="G6" s="124" t="s">
        <v>162</v>
      </c>
      <c r="H6" s="125" t="s">
        <v>162</v>
      </c>
      <c r="I6" s="125" t="s">
        <v>162</v>
      </c>
      <c r="J6" s="125" t="s">
        <v>163</v>
      </c>
      <c r="K6" s="125" t="s">
        <v>162</v>
      </c>
      <c r="L6" s="125" t="s">
        <v>163</v>
      </c>
      <c r="M6" s="125" t="s">
        <v>163</v>
      </c>
      <c r="N6" s="125" t="s">
        <v>163</v>
      </c>
      <c r="O6" s="125" t="s">
        <v>163</v>
      </c>
      <c r="P6" s="126"/>
      <c r="Q6" s="125" t="s">
        <v>163</v>
      </c>
      <c r="R6" s="125" t="s">
        <v>163</v>
      </c>
      <c r="S6" s="125" t="s">
        <v>163</v>
      </c>
      <c r="T6" s="125" t="s">
        <v>163</v>
      </c>
      <c r="U6" s="126"/>
      <c r="V6" s="125" t="s">
        <v>163</v>
      </c>
      <c r="W6" s="125" t="s">
        <v>163</v>
      </c>
      <c r="X6" s="125" t="s">
        <v>163</v>
      </c>
      <c r="Y6" s="125" t="s">
        <v>163</v>
      </c>
      <c r="Z6" s="125"/>
      <c r="AA6" s="125" t="s">
        <v>163</v>
      </c>
      <c r="AB6" s="125" t="s">
        <v>163</v>
      </c>
      <c r="AC6" s="125" t="s">
        <v>163</v>
      </c>
      <c r="AD6" s="125" t="s">
        <v>163</v>
      </c>
      <c r="AE6" s="126"/>
      <c r="AF6" s="125" t="s">
        <v>163</v>
      </c>
      <c r="AG6" s="125" t="s">
        <v>163</v>
      </c>
      <c r="AH6" s="125" t="s">
        <v>163</v>
      </c>
      <c r="AI6" s="125" t="s">
        <v>163</v>
      </c>
      <c r="AJ6" s="127"/>
      <c r="AK6" s="105"/>
      <c r="AN6" s="275"/>
      <c r="AO6" s="99" t="s">
        <v>120</v>
      </c>
      <c r="AP6" s="99" t="s">
        <v>121</v>
      </c>
      <c r="AQ6" s="99" t="s">
        <v>120</v>
      </c>
      <c r="AR6" s="99" t="s">
        <v>121</v>
      </c>
      <c r="AS6" s="99" t="s">
        <v>120</v>
      </c>
      <c r="AT6" s="99" t="s">
        <v>121</v>
      </c>
      <c r="AU6" s="99" t="s">
        <v>120</v>
      </c>
      <c r="AV6" s="99" t="s">
        <v>121</v>
      </c>
      <c r="AW6" s="99" t="s">
        <v>120</v>
      </c>
      <c r="AX6" s="99" t="s">
        <v>121</v>
      </c>
      <c r="AY6" s="99" t="s">
        <v>120</v>
      </c>
      <c r="AZ6" s="99" t="s">
        <v>121</v>
      </c>
    </row>
    <row r="7" spans="1:52" ht="32.25" customHeight="1" thickTop="1">
      <c r="A7" s="222">
        <v>1</v>
      </c>
      <c r="B7" s="114" t="s">
        <v>141</v>
      </c>
      <c r="C7" s="276"/>
      <c r="D7" s="228" t="s">
        <v>114</v>
      </c>
      <c r="E7" s="229"/>
      <c r="F7" s="230"/>
      <c r="G7" s="234" t="s">
        <v>164</v>
      </c>
      <c r="H7" s="214" t="s">
        <v>165</v>
      </c>
      <c r="I7" s="214" t="s">
        <v>165</v>
      </c>
      <c r="J7" s="214" t="s">
        <v>165</v>
      </c>
      <c r="K7" s="214" t="s">
        <v>165</v>
      </c>
      <c r="L7" s="214" t="s">
        <v>165</v>
      </c>
      <c r="M7" s="214" t="s">
        <v>165</v>
      </c>
      <c r="N7" s="214" t="s">
        <v>165</v>
      </c>
      <c r="O7" s="214" t="s">
        <v>165</v>
      </c>
      <c r="P7" s="214"/>
      <c r="Q7" s="214" t="s">
        <v>164</v>
      </c>
      <c r="R7" s="214"/>
      <c r="S7" s="214"/>
      <c r="T7" s="214"/>
      <c r="U7" s="214"/>
      <c r="V7" s="214" t="s">
        <v>165</v>
      </c>
      <c r="W7" s="214" t="s">
        <v>165</v>
      </c>
      <c r="X7" s="214" t="s">
        <v>165</v>
      </c>
      <c r="Y7" s="214" t="s">
        <v>165</v>
      </c>
      <c r="Z7" s="214"/>
      <c r="AA7" s="214" t="s">
        <v>165</v>
      </c>
      <c r="AB7" s="214" t="s">
        <v>165</v>
      </c>
      <c r="AC7" s="214" t="s">
        <v>165</v>
      </c>
      <c r="AD7" s="214" t="s">
        <v>165</v>
      </c>
      <c r="AE7" s="214"/>
      <c r="AF7" s="214" t="s">
        <v>165</v>
      </c>
      <c r="AG7" s="214" t="s">
        <v>165</v>
      </c>
      <c r="AH7" s="214" t="s">
        <v>165</v>
      </c>
      <c r="AI7" s="214" t="s">
        <v>165</v>
      </c>
      <c r="AJ7" s="280"/>
      <c r="AK7" s="105"/>
      <c r="AN7" s="224" t="str">
        <f>VLOOKUP(B7,利用者名簿!$B:$D,3,FALSE)</f>
        <v>〇</v>
      </c>
      <c r="AO7" s="269" t="str">
        <f>IF(COUNTIF(G7:K8, "○") &gt; 0, "〇", "")</f>
        <v>〇</v>
      </c>
      <c r="AP7" s="269" t="str">
        <f>IF(AND(AO7="〇", AN7="〇" ), "対象", "")</f>
        <v>対象</v>
      </c>
      <c r="AQ7" s="269" t="str">
        <f>IF(COUNTIF(L7:P8, "○") &gt; 0, "〇", "")</f>
        <v>〇</v>
      </c>
      <c r="AR7" s="269" t="str">
        <f>IF(AND(AQ7="〇", AN7="〇" ), "対象", "")</f>
        <v>対象</v>
      </c>
      <c r="AS7" s="269" t="str">
        <f>IF(COUNTIF(Q7:U8, "○") &gt; 0, "〇", "")</f>
        <v>〇</v>
      </c>
      <c r="AT7" s="269" t="str">
        <f>IF(AND(AS7="〇", AN7="〇" ), "対象", "")</f>
        <v>対象</v>
      </c>
      <c r="AU7" s="269" t="str">
        <f>IF(COUNTIF(V7:Z8, "○") &gt; 0, "〇", "")</f>
        <v>〇</v>
      </c>
      <c r="AV7" s="269" t="str">
        <f>IF(AND(AU7="〇", AN7="〇" ), "対象", "")</f>
        <v>対象</v>
      </c>
      <c r="AW7" s="269" t="str">
        <f>IF(COUNTIF(AA7:AE8, "○") &gt; 0, "〇", "")</f>
        <v>〇</v>
      </c>
      <c r="AX7" s="269" t="str">
        <f>IF(AND(AW7="〇", AN7="〇" ), "対象", "")</f>
        <v>対象</v>
      </c>
      <c r="AY7" s="269" t="str">
        <f>IF(COUNTIF(AF7:AJ8, "○") &gt; 0, "〇", "")</f>
        <v>〇</v>
      </c>
      <c r="AZ7" s="269" t="str">
        <f>IF(AND(AY7="〇", AN7="〇" ), "対象", "")</f>
        <v>対象</v>
      </c>
    </row>
    <row r="8" spans="1:52" ht="24" customHeight="1">
      <c r="A8" s="223"/>
      <c r="B8" s="115" t="s">
        <v>151</v>
      </c>
      <c r="C8" s="277"/>
      <c r="D8" s="231"/>
      <c r="E8" s="232"/>
      <c r="F8" s="233"/>
      <c r="G8" s="23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81"/>
      <c r="AK8" s="105"/>
      <c r="AN8" s="225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</row>
    <row r="9" spans="1:52" ht="32.25" customHeight="1">
      <c r="A9" s="238">
        <v>2</v>
      </c>
      <c r="B9" s="116" t="s">
        <v>152</v>
      </c>
      <c r="C9" s="278"/>
      <c r="D9" s="244" t="s">
        <v>114</v>
      </c>
      <c r="E9" s="245"/>
      <c r="F9" s="246"/>
      <c r="G9" s="247" t="s">
        <v>165</v>
      </c>
      <c r="H9" s="220"/>
      <c r="I9" s="220" t="s">
        <v>165</v>
      </c>
      <c r="J9" s="220" t="s">
        <v>165</v>
      </c>
      <c r="K9" s="220" t="s">
        <v>165</v>
      </c>
      <c r="L9" s="220" t="s">
        <v>165</v>
      </c>
      <c r="M9" s="220" t="s">
        <v>165</v>
      </c>
      <c r="N9" s="220" t="s">
        <v>165</v>
      </c>
      <c r="O9" s="220" t="s">
        <v>165</v>
      </c>
      <c r="P9" s="220"/>
      <c r="Q9" s="220" t="s">
        <v>165</v>
      </c>
      <c r="R9" s="220" t="s">
        <v>165</v>
      </c>
      <c r="S9" s="220" t="s">
        <v>165</v>
      </c>
      <c r="T9" s="220" t="s">
        <v>165</v>
      </c>
      <c r="U9" s="220"/>
      <c r="V9" s="220" t="s">
        <v>165</v>
      </c>
      <c r="W9" s="220" t="s">
        <v>165</v>
      </c>
      <c r="X9" s="220" t="s">
        <v>165</v>
      </c>
      <c r="Y9" s="220" t="s">
        <v>165</v>
      </c>
      <c r="Z9" s="220"/>
      <c r="AA9" s="220" t="s">
        <v>165</v>
      </c>
      <c r="AB9" s="220" t="s">
        <v>165</v>
      </c>
      <c r="AC9" s="220" t="s">
        <v>165</v>
      </c>
      <c r="AD9" s="220" t="s">
        <v>165</v>
      </c>
      <c r="AE9" s="220"/>
      <c r="AF9" s="220" t="s">
        <v>165</v>
      </c>
      <c r="AG9" s="220" t="s">
        <v>165</v>
      </c>
      <c r="AH9" s="220" t="s">
        <v>165</v>
      </c>
      <c r="AI9" s="220" t="s">
        <v>165</v>
      </c>
      <c r="AJ9" s="282"/>
      <c r="AK9" s="105"/>
      <c r="AN9" s="249" t="str">
        <f>VLOOKUP(B9,利用者名簿!$B:$D,3,FALSE)</f>
        <v>〇</v>
      </c>
      <c r="AO9" s="269" t="str">
        <f t="shared" ref="AO9" si="0">IF(COUNTIF(G9:K10, "○") &gt; 0, "〇", "")</f>
        <v>〇</v>
      </c>
      <c r="AP9" s="269" t="str">
        <f>IF(AND(AO9="〇", AN9="〇" ), "対象", "")</f>
        <v>対象</v>
      </c>
      <c r="AQ9" s="269" t="str">
        <f t="shared" ref="AQ9" si="1">IF(COUNTIF(L9:P10, "○") &gt; 0, "〇", "")</f>
        <v>〇</v>
      </c>
      <c r="AR9" s="269" t="str">
        <f>IF(AND(AQ9="〇", AN9="〇" ), "対象", "")</f>
        <v>対象</v>
      </c>
      <c r="AS9" s="269" t="str">
        <f t="shared" ref="AS9" si="2">IF(COUNTIF(Q9:U10, "○") &gt; 0, "〇", "")</f>
        <v>〇</v>
      </c>
      <c r="AT9" s="269" t="str">
        <f>IF(AND(AS9="〇", AN9="〇" ), "対象", "")</f>
        <v>対象</v>
      </c>
      <c r="AU9" s="269" t="str">
        <f t="shared" ref="AU9" si="3">IF(COUNTIF(V9:Z10, "○") &gt; 0, "〇", "")</f>
        <v>〇</v>
      </c>
      <c r="AV9" s="269" t="str">
        <f>IF(AND(AU9="〇", AN9="〇" ), "対象", "")</f>
        <v>対象</v>
      </c>
      <c r="AW9" s="269" t="str">
        <f t="shared" ref="AW9" si="4">IF(COUNTIF(AA9:AE10, "○") &gt; 0, "〇", "")</f>
        <v>〇</v>
      </c>
      <c r="AX9" s="269" t="str">
        <f>IF(AND(AW9="〇", AN9="〇" ), "対象", "")</f>
        <v>対象</v>
      </c>
      <c r="AY9" s="269" t="str">
        <f t="shared" ref="AY9" si="5">IF(COUNTIF(AF9:AJ10, "○") &gt; 0, "〇", "")</f>
        <v>〇</v>
      </c>
      <c r="AZ9" s="269" t="str">
        <f>IF(AND(AY9="〇", AN9="〇" ), "対象", "")</f>
        <v>対象</v>
      </c>
    </row>
    <row r="10" spans="1:52" ht="24" customHeight="1">
      <c r="A10" s="239"/>
      <c r="B10" s="115" t="s">
        <v>153</v>
      </c>
      <c r="C10" s="279"/>
      <c r="D10" s="231"/>
      <c r="E10" s="232"/>
      <c r="F10" s="233"/>
      <c r="G10" s="248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83"/>
      <c r="AK10" s="105"/>
      <c r="AN10" s="225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</row>
    <row r="11" spans="1:52" ht="32.25" customHeight="1">
      <c r="A11" s="238">
        <v>3</v>
      </c>
      <c r="B11" s="116" t="s">
        <v>154</v>
      </c>
      <c r="C11" s="278"/>
      <c r="D11" s="244" t="s">
        <v>114</v>
      </c>
      <c r="E11" s="245"/>
      <c r="F11" s="246"/>
      <c r="G11" s="247" t="s">
        <v>165</v>
      </c>
      <c r="H11" s="220" t="s">
        <v>165</v>
      </c>
      <c r="I11" s="220"/>
      <c r="J11" s="220" t="s">
        <v>165</v>
      </c>
      <c r="K11" s="220" t="s">
        <v>165</v>
      </c>
      <c r="L11" s="220" t="s">
        <v>165</v>
      </c>
      <c r="M11" s="220" t="s">
        <v>165</v>
      </c>
      <c r="N11" s="220" t="s">
        <v>165</v>
      </c>
      <c r="O11" s="220" t="s">
        <v>165</v>
      </c>
      <c r="P11" s="220"/>
      <c r="Q11" s="220" t="s">
        <v>165</v>
      </c>
      <c r="R11" s="220" t="s">
        <v>165</v>
      </c>
      <c r="S11" s="220" t="s">
        <v>165</v>
      </c>
      <c r="T11" s="220" t="s">
        <v>165</v>
      </c>
      <c r="U11" s="220"/>
      <c r="V11" s="220" t="s">
        <v>165</v>
      </c>
      <c r="W11" s="220" t="s">
        <v>165</v>
      </c>
      <c r="X11" s="220" t="s">
        <v>165</v>
      </c>
      <c r="Y11" s="220" t="s">
        <v>165</v>
      </c>
      <c r="Z11" s="220"/>
      <c r="AA11" s="220" t="s">
        <v>165</v>
      </c>
      <c r="AB11" s="220" t="s">
        <v>165</v>
      </c>
      <c r="AC11" s="220" t="s">
        <v>165</v>
      </c>
      <c r="AD11" s="220" t="s">
        <v>165</v>
      </c>
      <c r="AE11" s="220"/>
      <c r="AF11" s="220" t="s">
        <v>165</v>
      </c>
      <c r="AG11" s="220" t="s">
        <v>165</v>
      </c>
      <c r="AH11" s="220" t="s">
        <v>165</v>
      </c>
      <c r="AI11" s="220" t="s">
        <v>165</v>
      </c>
      <c r="AJ11" s="282"/>
      <c r="AK11" s="105"/>
      <c r="AN11" s="249" t="str">
        <f>VLOOKUP(B11,利用者名簿!$B:$D,3,FALSE)</f>
        <v>〇</v>
      </c>
      <c r="AO11" s="269" t="str">
        <f t="shared" ref="AO11" si="6">IF(COUNTIF(G11:K12, "○") &gt; 0, "〇", "")</f>
        <v>〇</v>
      </c>
      <c r="AP11" s="269" t="str">
        <f>IF(AND(AO11="〇", AN11="〇" ), "対象", "")</f>
        <v>対象</v>
      </c>
      <c r="AQ11" s="269" t="str">
        <f t="shared" ref="AQ11" si="7">IF(COUNTIF(L11:P12, "○") &gt; 0, "〇", "")</f>
        <v>〇</v>
      </c>
      <c r="AR11" s="269" t="str">
        <f>IF(AND(AQ11="〇", AN11="〇" ), "対象", "")</f>
        <v>対象</v>
      </c>
      <c r="AS11" s="269" t="str">
        <f t="shared" ref="AS11" si="8">IF(COUNTIF(Q11:U12, "○") &gt; 0, "〇", "")</f>
        <v>〇</v>
      </c>
      <c r="AT11" s="269" t="str">
        <f>IF(AND(AS11="〇", AN11="〇" ), "対象", "")</f>
        <v>対象</v>
      </c>
      <c r="AU11" s="269" t="str">
        <f t="shared" ref="AU11" si="9">IF(COUNTIF(V11:Z12, "○") &gt; 0, "〇", "")</f>
        <v>〇</v>
      </c>
      <c r="AV11" s="269" t="str">
        <f>IF(AND(AU11="〇", AN11="〇" ), "対象", "")</f>
        <v>対象</v>
      </c>
      <c r="AW11" s="269" t="str">
        <f t="shared" ref="AW11" si="10">IF(COUNTIF(AA11:AE12, "○") &gt; 0, "〇", "")</f>
        <v>〇</v>
      </c>
      <c r="AX11" s="269" t="str">
        <f>IF(AND(AW11="〇", AN11="〇" ), "対象", "")</f>
        <v>対象</v>
      </c>
      <c r="AY11" s="269" t="str">
        <f t="shared" ref="AY11" si="11">IF(COUNTIF(AF11:AJ12, "○") &gt; 0, "〇", "")</f>
        <v>〇</v>
      </c>
      <c r="AZ11" s="269" t="str">
        <f>IF(AND(AY11="〇", AN11="〇" ), "対象", "")</f>
        <v>対象</v>
      </c>
    </row>
    <row r="12" spans="1:52" ht="24" customHeight="1">
      <c r="A12" s="239"/>
      <c r="B12" s="115" t="s">
        <v>155</v>
      </c>
      <c r="C12" s="279"/>
      <c r="D12" s="231"/>
      <c r="E12" s="232"/>
      <c r="F12" s="233"/>
      <c r="G12" s="248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83"/>
      <c r="AK12" s="105"/>
      <c r="AN12" s="225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</row>
    <row r="13" spans="1:52" ht="32.25" customHeight="1">
      <c r="A13" s="238">
        <v>4</v>
      </c>
      <c r="B13" s="116" t="s">
        <v>156</v>
      </c>
      <c r="C13" s="278"/>
      <c r="D13" s="244" t="s">
        <v>114</v>
      </c>
      <c r="E13" s="245"/>
      <c r="F13" s="246"/>
      <c r="G13" s="247" t="s">
        <v>165</v>
      </c>
      <c r="H13" s="220" t="s">
        <v>165</v>
      </c>
      <c r="I13" s="220" t="s">
        <v>165</v>
      </c>
      <c r="J13" s="220"/>
      <c r="K13" s="220" t="s">
        <v>165</v>
      </c>
      <c r="L13" s="220" t="s">
        <v>165</v>
      </c>
      <c r="M13" s="220" t="s">
        <v>165</v>
      </c>
      <c r="N13" s="220" t="s">
        <v>165</v>
      </c>
      <c r="O13" s="220" t="s">
        <v>165</v>
      </c>
      <c r="P13" s="220"/>
      <c r="Q13" s="220" t="s">
        <v>165</v>
      </c>
      <c r="R13" s="220" t="s">
        <v>165</v>
      </c>
      <c r="S13" s="220" t="s">
        <v>165</v>
      </c>
      <c r="T13" s="220" t="s">
        <v>165</v>
      </c>
      <c r="U13" s="220"/>
      <c r="V13" s="220" t="s">
        <v>165</v>
      </c>
      <c r="W13" s="220" t="s">
        <v>165</v>
      </c>
      <c r="X13" s="220" t="s">
        <v>165</v>
      </c>
      <c r="Y13" s="220" t="s">
        <v>165</v>
      </c>
      <c r="Z13" s="220"/>
      <c r="AA13" s="220" t="s">
        <v>165</v>
      </c>
      <c r="AB13" s="220" t="s">
        <v>165</v>
      </c>
      <c r="AC13" s="220" t="s">
        <v>165</v>
      </c>
      <c r="AD13" s="220" t="s">
        <v>165</v>
      </c>
      <c r="AE13" s="220"/>
      <c r="AF13" s="220" t="s">
        <v>165</v>
      </c>
      <c r="AG13" s="220" t="s">
        <v>165</v>
      </c>
      <c r="AH13" s="220" t="s">
        <v>165</v>
      </c>
      <c r="AI13" s="220" t="s">
        <v>165</v>
      </c>
      <c r="AJ13" s="282"/>
      <c r="AK13" s="105"/>
      <c r="AN13" s="249" t="str">
        <f>VLOOKUP(B13,利用者名簿!$B:$D,3,FALSE)</f>
        <v>〇</v>
      </c>
      <c r="AO13" s="269" t="str">
        <f t="shared" ref="AO13" si="12">IF(COUNTIF(G13:K14, "○") &gt; 0, "〇", "")</f>
        <v>〇</v>
      </c>
      <c r="AP13" s="269" t="str">
        <f>IF(AND(AO13="〇", AN13="〇" ), "対象", "")</f>
        <v>対象</v>
      </c>
      <c r="AQ13" s="269" t="str">
        <f t="shared" ref="AQ13" si="13">IF(COUNTIF(L13:P14, "○") &gt; 0, "〇", "")</f>
        <v>〇</v>
      </c>
      <c r="AR13" s="269" t="str">
        <f>IF(AND(AQ13="〇", AN13="〇" ), "対象", "")</f>
        <v>対象</v>
      </c>
      <c r="AS13" s="269" t="str">
        <f t="shared" ref="AS13" si="14">IF(COUNTIF(Q13:U14, "○") &gt; 0, "〇", "")</f>
        <v>〇</v>
      </c>
      <c r="AT13" s="269" t="str">
        <f>IF(AND(AS13="〇", AN13="〇" ), "対象", "")</f>
        <v>対象</v>
      </c>
      <c r="AU13" s="269" t="str">
        <f t="shared" ref="AU13" si="15">IF(COUNTIF(V13:Z14, "○") &gt; 0, "〇", "")</f>
        <v>〇</v>
      </c>
      <c r="AV13" s="269" t="str">
        <f>IF(AND(AU13="〇", AN13="〇" ), "対象", "")</f>
        <v>対象</v>
      </c>
      <c r="AW13" s="269" t="str">
        <f t="shared" ref="AW13" si="16">IF(COUNTIF(AA13:AE14, "○") &gt; 0, "〇", "")</f>
        <v>〇</v>
      </c>
      <c r="AX13" s="269" t="str">
        <f>IF(AND(AW13="〇", AN13="〇" ), "対象", "")</f>
        <v>対象</v>
      </c>
      <c r="AY13" s="269" t="str">
        <f t="shared" ref="AY13" si="17">IF(COUNTIF(AF13:AJ14, "○") &gt; 0, "〇", "")</f>
        <v>〇</v>
      </c>
      <c r="AZ13" s="269" t="str">
        <f>IF(AND(AY13="〇", AN13="〇" ), "対象", "")</f>
        <v>対象</v>
      </c>
    </row>
    <row r="14" spans="1:52" ht="24" customHeight="1">
      <c r="A14" s="239"/>
      <c r="B14" s="115" t="s">
        <v>157</v>
      </c>
      <c r="C14" s="279"/>
      <c r="D14" s="231"/>
      <c r="E14" s="232"/>
      <c r="F14" s="233"/>
      <c r="G14" s="248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83"/>
      <c r="AK14" s="105"/>
      <c r="AN14" s="225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</row>
    <row r="15" spans="1:52" ht="32.25" customHeight="1">
      <c r="A15" s="238">
        <v>5</v>
      </c>
      <c r="B15" s="116" t="s">
        <v>158</v>
      </c>
      <c r="C15" s="278"/>
      <c r="D15" s="244" t="s">
        <v>114</v>
      </c>
      <c r="E15" s="245"/>
      <c r="F15" s="246"/>
      <c r="G15" s="247" t="s">
        <v>165</v>
      </c>
      <c r="H15" s="220" t="s">
        <v>165</v>
      </c>
      <c r="I15" s="220" t="s">
        <v>165</v>
      </c>
      <c r="J15" s="220" t="s">
        <v>165</v>
      </c>
      <c r="K15" s="220"/>
      <c r="L15" s="220" t="s">
        <v>165</v>
      </c>
      <c r="M15" s="220" t="s">
        <v>165</v>
      </c>
      <c r="N15" s="220" t="s">
        <v>165</v>
      </c>
      <c r="O15" s="220" t="s">
        <v>165</v>
      </c>
      <c r="P15" s="220"/>
      <c r="Q15" s="220" t="s">
        <v>165</v>
      </c>
      <c r="R15" s="220" t="s">
        <v>165</v>
      </c>
      <c r="S15" s="220" t="s">
        <v>165</v>
      </c>
      <c r="T15" s="220" t="s">
        <v>165</v>
      </c>
      <c r="U15" s="220"/>
      <c r="V15" s="220" t="s">
        <v>165</v>
      </c>
      <c r="W15" s="220" t="s">
        <v>165</v>
      </c>
      <c r="X15" s="220" t="s">
        <v>165</v>
      </c>
      <c r="Y15" s="220" t="s">
        <v>165</v>
      </c>
      <c r="Z15" s="220"/>
      <c r="AA15" s="220" t="s">
        <v>165</v>
      </c>
      <c r="AB15" s="220" t="s">
        <v>165</v>
      </c>
      <c r="AC15" s="220" t="s">
        <v>165</v>
      </c>
      <c r="AD15" s="220" t="s">
        <v>165</v>
      </c>
      <c r="AE15" s="220"/>
      <c r="AF15" s="220" t="s">
        <v>165</v>
      </c>
      <c r="AG15" s="220" t="s">
        <v>165</v>
      </c>
      <c r="AH15" s="220" t="s">
        <v>165</v>
      </c>
      <c r="AI15" s="220" t="s">
        <v>165</v>
      </c>
      <c r="AJ15" s="282"/>
      <c r="AK15" s="105"/>
      <c r="AN15" s="249" t="str">
        <f>VLOOKUP(B15,利用者名簿!$B:$D,3,FALSE)</f>
        <v>〇</v>
      </c>
      <c r="AO15" s="269" t="str">
        <f t="shared" ref="AO15" si="18">IF(COUNTIF(G15:K16, "○") &gt; 0, "〇", "")</f>
        <v>〇</v>
      </c>
      <c r="AP15" s="269" t="str">
        <f>IF(AND(AO15="〇", AN15="〇" ), "対象", "")</f>
        <v>対象</v>
      </c>
      <c r="AQ15" s="269" t="str">
        <f t="shared" ref="AQ15" si="19">IF(COUNTIF(L15:P16, "○") &gt; 0, "〇", "")</f>
        <v>〇</v>
      </c>
      <c r="AR15" s="269" t="str">
        <f>IF(AND(AQ15="〇", AN15="〇" ), "対象", "")</f>
        <v>対象</v>
      </c>
      <c r="AS15" s="269" t="str">
        <f t="shared" ref="AS15" si="20">IF(COUNTIF(Q15:U16, "○") &gt; 0, "〇", "")</f>
        <v>〇</v>
      </c>
      <c r="AT15" s="269" t="str">
        <f>IF(AND(AS15="〇", AN15="〇" ), "対象", "")</f>
        <v>対象</v>
      </c>
      <c r="AU15" s="269" t="str">
        <f t="shared" ref="AU15" si="21">IF(COUNTIF(V15:Z16, "○") &gt; 0, "〇", "")</f>
        <v>〇</v>
      </c>
      <c r="AV15" s="269" t="str">
        <f>IF(AND(AU15="〇", AN15="〇" ), "対象", "")</f>
        <v>対象</v>
      </c>
      <c r="AW15" s="269" t="str">
        <f t="shared" ref="AW15" si="22">IF(COUNTIF(AA15:AE16, "○") &gt; 0, "〇", "")</f>
        <v>〇</v>
      </c>
      <c r="AX15" s="269" t="str">
        <f>IF(AND(AW15="〇", AN15="〇" ), "対象", "")</f>
        <v>対象</v>
      </c>
      <c r="AY15" s="269" t="str">
        <f t="shared" ref="AY15" si="23">IF(COUNTIF(AF15:AJ16, "○") &gt; 0, "〇", "")</f>
        <v>〇</v>
      </c>
      <c r="AZ15" s="269" t="str">
        <f>IF(AND(AY15="〇", AN15="〇" ), "対象", "")</f>
        <v>対象</v>
      </c>
    </row>
    <row r="16" spans="1:52" ht="24" customHeight="1">
      <c r="A16" s="239"/>
      <c r="B16" s="115" t="s">
        <v>159</v>
      </c>
      <c r="C16" s="279"/>
      <c r="D16" s="231"/>
      <c r="E16" s="232"/>
      <c r="F16" s="233"/>
      <c r="G16" s="248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83"/>
      <c r="AK16" s="105"/>
      <c r="AN16" s="225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</row>
    <row r="17" spans="1:52" ht="32.25" customHeight="1">
      <c r="A17" s="238">
        <v>6</v>
      </c>
      <c r="B17" s="116" t="s">
        <v>160</v>
      </c>
      <c r="C17" s="278"/>
      <c r="D17" s="244" t="s">
        <v>114</v>
      </c>
      <c r="E17" s="245"/>
      <c r="F17" s="246"/>
      <c r="G17" s="247" t="s">
        <v>165</v>
      </c>
      <c r="H17" s="220" t="s">
        <v>165</v>
      </c>
      <c r="I17" s="220" t="s">
        <v>165</v>
      </c>
      <c r="J17" s="220" t="s">
        <v>165</v>
      </c>
      <c r="K17" s="220" t="s">
        <v>165</v>
      </c>
      <c r="L17" s="220"/>
      <c r="M17" s="220" t="s">
        <v>165</v>
      </c>
      <c r="N17" s="220" t="s">
        <v>165</v>
      </c>
      <c r="O17" s="220"/>
      <c r="P17" s="220"/>
      <c r="Q17" s="220" t="s">
        <v>165</v>
      </c>
      <c r="R17" s="220" t="s">
        <v>165</v>
      </c>
      <c r="S17" s="220" t="s">
        <v>165</v>
      </c>
      <c r="T17" s="220" t="s">
        <v>165</v>
      </c>
      <c r="U17" s="220"/>
      <c r="V17" s="220" t="s">
        <v>165</v>
      </c>
      <c r="W17" s="220" t="s">
        <v>165</v>
      </c>
      <c r="X17" s="220"/>
      <c r="Y17" s="220" t="s">
        <v>165</v>
      </c>
      <c r="Z17" s="220"/>
      <c r="AA17" s="220" t="s">
        <v>165</v>
      </c>
      <c r="AB17" s="220" t="s">
        <v>165</v>
      </c>
      <c r="AC17" s="220" t="s">
        <v>165</v>
      </c>
      <c r="AD17" s="220" t="s">
        <v>165</v>
      </c>
      <c r="AE17" s="220"/>
      <c r="AF17" s="220" t="s">
        <v>165</v>
      </c>
      <c r="AG17" s="220" t="s">
        <v>165</v>
      </c>
      <c r="AH17" s="220" t="s">
        <v>165</v>
      </c>
      <c r="AI17" s="220" t="s">
        <v>165</v>
      </c>
      <c r="AJ17" s="282"/>
      <c r="AK17" s="105"/>
      <c r="AN17" s="249" t="str">
        <f>VLOOKUP(B17,利用者名簿!$B:$D,3,FALSE)</f>
        <v/>
      </c>
      <c r="AO17" s="269" t="str">
        <f t="shared" ref="AO17" si="24">IF(COUNTIF(G17:K18, "○") &gt; 0, "〇", "")</f>
        <v>〇</v>
      </c>
      <c r="AP17" s="269" t="str">
        <f>IF(AND(AO17="〇", AN17="〇" ), "対象", "")</f>
        <v/>
      </c>
      <c r="AQ17" s="269" t="str">
        <f t="shared" ref="AQ17" si="25">IF(COUNTIF(L17:P18, "○") &gt; 0, "〇", "")</f>
        <v>〇</v>
      </c>
      <c r="AR17" s="269" t="str">
        <f>IF(AND(AQ17="〇", AN17="〇" ), "対象", "")</f>
        <v/>
      </c>
      <c r="AS17" s="269" t="str">
        <f t="shared" ref="AS17" si="26">IF(COUNTIF(Q17:U18, "○") &gt; 0, "〇", "")</f>
        <v>〇</v>
      </c>
      <c r="AT17" s="269" t="str">
        <f>IF(AND(AS17="〇", AN17="〇" ), "対象", "")</f>
        <v/>
      </c>
      <c r="AU17" s="269" t="str">
        <f t="shared" ref="AU17" si="27">IF(COUNTIF(V17:Z18, "○") &gt; 0, "〇", "")</f>
        <v>〇</v>
      </c>
      <c r="AV17" s="269" t="str">
        <f>IF(AND(AU17="〇", AN17="〇" ), "対象", "")</f>
        <v/>
      </c>
      <c r="AW17" s="269" t="str">
        <f t="shared" ref="AW17" si="28">IF(COUNTIF(AA17:AE18, "○") &gt; 0, "〇", "")</f>
        <v>〇</v>
      </c>
      <c r="AX17" s="269" t="str">
        <f>IF(AND(AW17="〇", AN17="〇" ), "対象", "")</f>
        <v/>
      </c>
      <c r="AY17" s="269" t="str">
        <f t="shared" ref="AY17" si="29">IF(COUNTIF(AF17:AJ18, "○") &gt; 0, "〇", "")</f>
        <v>〇</v>
      </c>
      <c r="AZ17" s="269" t="str">
        <f>IF(AND(AY17="〇", AN17="〇" ), "対象", "")</f>
        <v/>
      </c>
    </row>
    <row r="18" spans="1:52" ht="24" customHeight="1">
      <c r="A18" s="239"/>
      <c r="B18" s="115" t="s">
        <v>115</v>
      </c>
      <c r="C18" s="279"/>
      <c r="D18" s="231"/>
      <c r="E18" s="232"/>
      <c r="F18" s="233"/>
      <c r="G18" s="250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84"/>
      <c r="AK18" s="105"/>
      <c r="AN18" s="225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</row>
    <row r="19" spans="1:52" ht="32.25" customHeight="1">
      <c r="A19" s="238">
        <v>7</v>
      </c>
      <c r="B19" s="116" t="s">
        <v>161</v>
      </c>
      <c r="C19" s="278"/>
      <c r="D19" s="244" t="s">
        <v>114</v>
      </c>
      <c r="E19" s="245"/>
      <c r="F19" s="246"/>
      <c r="G19" s="247" t="s">
        <v>165</v>
      </c>
      <c r="H19" s="220" t="s">
        <v>165</v>
      </c>
      <c r="I19" s="220" t="s">
        <v>165</v>
      </c>
      <c r="J19" s="220" t="s">
        <v>165</v>
      </c>
      <c r="K19" s="220" t="s">
        <v>165</v>
      </c>
      <c r="L19" s="220" t="s">
        <v>165</v>
      </c>
      <c r="M19" s="220"/>
      <c r="N19" s="220" t="s">
        <v>165</v>
      </c>
      <c r="O19" s="220"/>
      <c r="P19" s="220"/>
      <c r="Q19" s="220" t="s">
        <v>165</v>
      </c>
      <c r="R19" s="220" t="s">
        <v>165</v>
      </c>
      <c r="S19" s="220" t="s">
        <v>165</v>
      </c>
      <c r="T19" s="220" t="s">
        <v>165</v>
      </c>
      <c r="U19" s="220"/>
      <c r="V19" s="220" t="s">
        <v>165</v>
      </c>
      <c r="W19" s="220" t="s">
        <v>165</v>
      </c>
      <c r="X19" s="220"/>
      <c r="Y19" s="220" t="s">
        <v>165</v>
      </c>
      <c r="Z19" s="220"/>
      <c r="AA19" s="220" t="s">
        <v>165</v>
      </c>
      <c r="AB19" s="220" t="s">
        <v>165</v>
      </c>
      <c r="AC19" s="220" t="s">
        <v>165</v>
      </c>
      <c r="AD19" s="220" t="s">
        <v>165</v>
      </c>
      <c r="AE19" s="220"/>
      <c r="AF19" s="220" t="s">
        <v>165</v>
      </c>
      <c r="AG19" s="220" t="s">
        <v>165</v>
      </c>
      <c r="AH19" s="220" t="s">
        <v>165</v>
      </c>
      <c r="AI19" s="220" t="s">
        <v>165</v>
      </c>
      <c r="AJ19" s="282"/>
      <c r="AK19" s="105"/>
      <c r="AN19" s="249" t="str">
        <f>VLOOKUP(B19,利用者名簿!$B:$D,3,FALSE)</f>
        <v/>
      </c>
      <c r="AO19" s="269" t="str">
        <f t="shared" ref="AO19" si="30">IF(COUNTIF(G19:K20, "○") &gt; 0, "〇", "")</f>
        <v>〇</v>
      </c>
      <c r="AP19" s="269" t="str">
        <f>IF(AND(AO19="〇", AN19="〇" ), "対象", "")</f>
        <v/>
      </c>
      <c r="AQ19" s="269" t="str">
        <f t="shared" ref="AQ19" si="31">IF(COUNTIF(L19:P20, "○") &gt; 0, "〇", "")</f>
        <v>〇</v>
      </c>
      <c r="AR19" s="269" t="str">
        <f>IF(AND(AQ19="〇", AN19="〇" ), "対象", "")</f>
        <v/>
      </c>
      <c r="AS19" s="269" t="str">
        <f t="shared" ref="AS19" si="32">IF(COUNTIF(Q19:U20, "○") &gt; 0, "〇", "")</f>
        <v>〇</v>
      </c>
      <c r="AT19" s="269" t="str">
        <f>IF(AND(AS19="〇", AN19="〇" ), "対象", "")</f>
        <v/>
      </c>
      <c r="AU19" s="269" t="str">
        <f t="shared" ref="AU19" si="33">IF(COUNTIF(V19:Z20, "○") &gt; 0, "〇", "")</f>
        <v>〇</v>
      </c>
      <c r="AV19" s="269" t="str">
        <f>IF(AND(AU19="〇", AN19="〇" ), "対象", "")</f>
        <v/>
      </c>
      <c r="AW19" s="269" t="str">
        <f t="shared" ref="AW19" si="34">IF(COUNTIF(AA19:AE20, "○") &gt; 0, "〇", "")</f>
        <v>〇</v>
      </c>
      <c r="AX19" s="269" t="str">
        <f>IF(AND(AW19="〇", AN19="〇" ), "対象", "")</f>
        <v/>
      </c>
      <c r="AY19" s="269" t="str">
        <f t="shared" ref="AY19" si="35">IF(COUNTIF(AF19:AJ20, "○") &gt; 0, "〇", "")</f>
        <v>〇</v>
      </c>
      <c r="AZ19" s="269" t="str">
        <f>IF(AND(AY19="〇", AN19="〇" ), "対象", "")</f>
        <v/>
      </c>
    </row>
    <row r="20" spans="1:52" ht="24" customHeight="1">
      <c r="A20" s="239"/>
      <c r="B20" s="115" t="s">
        <v>115</v>
      </c>
      <c r="C20" s="279"/>
      <c r="D20" s="231"/>
      <c r="E20" s="232"/>
      <c r="F20" s="233"/>
      <c r="G20" s="250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84"/>
      <c r="AK20" s="105"/>
      <c r="AN20" s="225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</row>
    <row r="21" spans="1:52" ht="32.25" customHeight="1">
      <c r="A21" s="238">
        <v>8</v>
      </c>
      <c r="B21" s="128"/>
      <c r="C21" s="278"/>
      <c r="D21" s="244" t="s">
        <v>114</v>
      </c>
      <c r="E21" s="245"/>
      <c r="F21" s="246"/>
      <c r="G21" s="251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5"/>
      <c r="AJ21" s="257"/>
      <c r="AK21" s="105"/>
      <c r="AN21" s="249" t="e">
        <f>VLOOKUP(B21,利用者名簿!$B:$D,3,FALSE)</f>
        <v>#N/A</v>
      </c>
      <c r="AO21" s="269" t="str">
        <f t="shared" ref="AO21" si="36">IF(COUNTIF(G21:K22, "○") &gt; 0, "〇", "")</f>
        <v/>
      </c>
      <c r="AP21" s="269" t="e">
        <f>IF(AND(AO21="〇", AN21="〇" ), "対象", "")</f>
        <v>#N/A</v>
      </c>
      <c r="AQ21" s="269" t="str">
        <f t="shared" ref="AQ21" si="37">IF(COUNTIF(L21:P22, "○") &gt; 0, "〇", "")</f>
        <v/>
      </c>
      <c r="AR21" s="269" t="e">
        <f>IF(AND(AQ21="〇", AN21="〇" ), "対象", "")</f>
        <v>#N/A</v>
      </c>
      <c r="AS21" s="269" t="str">
        <f t="shared" ref="AS21" si="38">IF(COUNTIF(Q21:U22, "○") &gt; 0, "〇", "")</f>
        <v/>
      </c>
      <c r="AT21" s="269" t="e">
        <f>IF(AND(AS21="〇", AN21="〇" ), "対象", "")</f>
        <v>#N/A</v>
      </c>
      <c r="AU21" s="269" t="str">
        <f t="shared" ref="AU21" si="39">IF(COUNTIF(V21:Z22, "○") &gt; 0, "〇", "")</f>
        <v/>
      </c>
      <c r="AV21" s="269" t="e">
        <f>IF(AND(AU21="〇", AN21="〇" ), "対象", "")</f>
        <v>#N/A</v>
      </c>
      <c r="AW21" s="269" t="str">
        <f t="shared" ref="AW21" si="40">IF(COUNTIF(AA21:AE22, "○") &gt; 0, "〇", "")</f>
        <v/>
      </c>
      <c r="AX21" s="269" t="e">
        <f>IF(AND(AW21="〇", AN21="〇" ), "対象", "")</f>
        <v>#N/A</v>
      </c>
      <c r="AY21" s="269" t="str">
        <f t="shared" ref="AY21" si="41">IF(COUNTIF(AF21:AJ22, "○") &gt; 0, "〇", "")</f>
        <v/>
      </c>
      <c r="AZ21" s="269" t="e">
        <f>IF(AND(AY21="〇", AN21="〇" ), "対象", "")</f>
        <v>#N/A</v>
      </c>
    </row>
    <row r="22" spans="1:52" ht="24" customHeight="1">
      <c r="A22" s="239"/>
      <c r="B22" s="115" t="s">
        <v>115</v>
      </c>
      <c r="C22" s="279"/>
      <c r="D22" s="231"/>
      <c r="E22" s="232"/>
      <c r="F22" s="233"/>
      <c r="G22" s="252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6"/>
      <c r="AJ22" s="258"/>
      <c r="AK22" s="105"/>
      <c r="AN22" s="225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</row>
    <row r="23" spans="1:52" ht="32.25" customHeight="1">
      <c r="A23" s="238">
        <v>9</v>
      </c>
      <c r="B23" s="128"/>
      <c r="C23" s="278"/>
      <c r="D23" s="244" t="s">
        <v>114</v>
      </c>
      <c r="E23" s="245"/>
      <c r="F23" s="246"/>
      <c r="G23" s="251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5"/>
      <c r="AJ23" s="257"/>
      <c r="AK23" s="105"/>
      <c r="AN23" s="249" t="e">
        <f>VLOOKUP(B23,利用者名簿!$B:$D,3,FALSE)</f>
        <v>#N/A</v>
      </c>
      <c r="AO23" s="269" t="str">
        <f t="shared" ref="AO23" si="42">IF(COUNTIF(G23:K24, "○") &gt; 0, "〇", "")</f>
        <v/>
      </c>
      <c r="AP23" s="269" t="e">
        <f>IF(AND(AO23="〇", AN23="〇" ), "対象", "")</f>
        <v>#N/A</v>
      </c>
      <c r="AQ23" s="269" t="str">
        <f t="shared" ref="AQ23" si="43">IF(COUNTIF(L23:P24, "○") &gt; 0, "〇", "")</f>
        <v/>
      </c>
      <c r="AR23" s="269" t="e">
        <f>IF(AND(AQ23="〇", AN23="〇" ), "対象", "")</f>
        <v>#N/A</v>
      </c>
      <c r="AS23" s="269" t="str">
        <f t="shared" ref="AS23" si="44">IF(COUNTIF(Q23:U24, "○") &gt; 0, "〇", "")</f>
        <v/>
      </c>
      <c r="AT23" s="269" t="e">
        <f>IF(AND(AS23="〇", AN23="〇" ), "対象", "")</f>
        <v>#N/A</v>
      </c>
      <c r="AU23" s="269" t="str">
        <f t="shared" ref="AU23" si="45">IF(COUNTIF(V23:Z24, "○") &gt; 0, "〇", "")</f>
        <v/>
      </c>
      <c r="AV23" s="269" t="e">
        <f>IF(AND(AU23="〇", AN23="〇" ), "対象", "")</f>
        <v>#N/A</v>
      </c>
      <c r="AW23" s="269" t="str">
        <f t="shared" ref="AW23" si="46">IF(COUNTIF(AA23:AE24, "○") &gt; 0, "〇", "")</f>
        <v/>
      </c>
      <c r="AX23" s="269" t="e">
        <f>IF(AND(AW23="〇", AN23="〇" ), "対象", "")</f>
        <v>#N/A</v>
      </c>
      <c r="AY23" s="269" t="str">
        <f t="shared" ref="AY23" si="47">IF(COUNTIF(AF23:AJ24, "○") &gt; 0, "〇", "")</f>
        <v/>
      </c>
      <c r="AZ23" s="269" t="e">
        <f>IF(AND(AY23="〇", AN23="〇" ), "対象", "")</f>
        <v>#N/A</v>
      </c>
    </row>
    <row r="24" spans="1:52" ht="24" customHeight="1">
      <c r="A24" s="239"/>
      <c r="B24" s="115" t="s">
        <v>115</v>
      </c>
      <c r="C24" s="279"/>
      <c r="D24" s="231"/>
      <c r="E24" s="232"/>
      <c r="F24" s="233"/>
      <c r="G24" s="252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6"/>
      <c r="AJ24" s="258"/>
      <c r="AK24" s="105"/>
      <c r="AN24" s="225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</row>
    <row r="25" spans="1:52" ht="32.25" customHeight="1">
      <c r="A25" s="238">
        <v>10</v>
      </c>
      <c r="B25" s="128"/>
      <c r="C25" s="278"/>
      <c r="D25" s="244" t="s">
        <v>114</v>
      </c>
      <c r="E25" s="245"/>
      <c r="F25" s="246"/>
      <c r="G25" s="251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5"/>
      <c r="AJ25" s="257"/>
      <c r="AK25" s="105"/>
      <c r="AN25" s="249" t="e">
        <f>VLOOKUP(B25,利用者名簿!$B:$D,3,FALSE)</f>
        <v>#N/A</v>
      </c>
      <c r="AO25" s="269" t="str">
        <f t="shared" ref="AO25" si="48">IF(COUNTIF(G25:K26, "○") &gt; 0, "〇", "")</f>
        <v/>
      </c>
      <c r="AP25" s="269" t="e">
        <f>IF(AND(AO25="〇", AN25="〇" ), "対象", "")</f>
        <v>#N/A</v>
      </c>
      <c r="AQ25" s="269" t="str">
        <f t="shared" ref="AQ25" si="49">IF(COUNTIF(L25:P26, "○") &gt; 0, "〇", "")</f>
        <v/>
      </c>
      <c r="AR25" s="269" t="e">
        <f>IF(AND(AQ25="〇", AN25="〇" ), "対象", "")</f>
        <v>#N/A</v>
      </c>
      <c r="AS25" s="269" t="str">
        <f t="shared" ref="AS25" si="50">IF(COUNTIF(Q25:U26, "○") &gt; 0, "〇", "")</f>
        <v/>
      </c>
      <c r="AT25" s="269" t="e">
        <f>IF(AND(AS25="〇", AN25="〇" ), "対象", "")</f>
        <v>#N/A</v>
      </c>
      <c r="AU25" s="269" t="str">
        <f t="shared" ref="AU25" si="51">IF(COUNTIF(V25:Z26, "○") &gt; 0, "〇", "")</f>
        <v/>
      </c>
      <c r="AV25" s="269" t="e">
        <f>IF(AND(AU25="〇", AN25="〇" ), "対象", "")</f>
        <v>#N/A</v>
      </c>
      <c r="AW25" s="269" t="str">
        <f t="shared" ref="AW25" si="52">IF(COUNTIF(AA25:AE26, "○") &gt; 0, "〇", "")</f>
        <v/>
      </c>
      <c r="AX25" s="269" t="e">
        <f>IF(AND(AW25="〇", AN25="〇" ), "対象", "")</f>
        <v>#N/A</v>
      </c>
      <c r="AY25" s="269" t="str">
        <f t="shared" ref="AY25" si="53">IF(COUNTIF(AF25:AJ26, "○") &gt; 0, "〇", "")</f>
        <v/>
      </c>
      <c r="AZ25" s="269" t="e">
        <f>IF(AND(AY25="〇", AN25="〇" ), "対象", "")</f>
        <v>#N/A</v>
      </c>
    </row>
    <row r="26" spans="1:52" ht="24" customHeight="1" thickBot="1">
      <c r="A26" s="259"/>
      <c r="B26" s="118" t="s">
        <v>115</v>
      </c>
      <c r="C26" s="285"/>
      <c r="D26" s="261"/>
      <c r="E26" s="262"/>
      <c r="F26" s="263"/>
      <c r="G26" s="264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7"/>
      <c r="AJ26" s="268"/>
      <c r="AK26" s="105"/>
      <c r="AN26" s="224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</row>
    <row r="27" spans="1:52" ht="40.5" customHeight="1" thickTop="1">
      <c r="A27" s="270" t="s">
        <v>116</v>
      </c>
      <c r="B27" s="271"/>
      <c r="C27" s="271"/>
      <c r="D27" s="271"/>
      <c r="E27" s="271"/>
      <c r="F27" s="272"/>
      <c r="G27" s="103"/>
      <c r="H27" s="96"/>
      <c r="I27" s="97"/>
      <c r="J27" s="96"/>
      <c r="K27" s="97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6"/>
      <c r="AK27" s="102"/>
      <c r="AL27" s="100"/>
      <c r="AM27" s="100"/>
      <c r="AN27" s="99"/>
      <c r="AO27" s="99"/>
      <c r="AP27" s="99">
        <f>COUNTIF(AP7:AP26, "対象")</f>
        <v>5</v>
      </c>
      <c r="AQ27" s="99"/>
      <c r="AR27" s="99">
        <f t="shared" ref="AR27" si="54">COUNTIF(AR7:AR26, "対象")</f>
        <v>5</v>
      </c>
      <c r="AS27" s="99"/>
      <c r="AT27" s="99">
        <f t="shared" ref="AT27" si="55">COUNTIF(AT7:AT26, "対象")</f>
        <v>5</v>
      </c>
      <c r="AU27" s="99"/>
      <c r="AV27" s="99">
        <f t="shared" ref="AV27" si="56">COUNTIF(AV7:AV26, "対象")</f>
        <v>5</v>
      </c>
      <c r="AW27" s="99"/>
      <c r="AX27" s="99">
        <f>COUNTIF(AX7:AX26, "対象")</f>
        <v>5</v>
      </c>
      <c r="AY27" s="99"/>
      <c r="AZ27" s="99">
        <f t="shared" ref="AZ27" si="57">COUNTIF(AZ7:AZ26, "対象")</f>
        <v>5</v>
      </c>
    </row>
    <row r="28" spans="1:52" ht="18" customHeight="1">
      <c r="A28" s="265" t="s">
        <v>117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98"/>
      <c r="AM28" s="98"/>
    </row>
    <row r="29" spans="1:52" ht="18" customHeight="1">
      <c r="A29" s="265" t="s">
        <v>118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98"/>
      <c r="AM29" s="98"/>
    </row>
    <row r="30" spans="1:52" ht="18" customHeight="1">
      <c r="A30" s="265" t="s">
        <v>119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98"/>
      <c r="AM30" s="98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0231-93E8-4CB7-B2C9-EF2D5D6F8AF8}">
  <dimension ref="A1:M182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43" t="s">
        <v>181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ht="30.75" customHeight="1" thickTop="1">
      <c r="A2" s="146" t="s">
        <v>182</v>
      </c>
      <c r="B2" s="298" t="s">
        <v>5</v>
      </c>
      <c r="C2" s="299"/>
      <c r="D2" s="147" t="s">
        <v>194</v>
      </c>
      <c r="E2" s="300" t="s">
        <v>10</v>
      </c>
      <c r="F2" s="301"/>
      <c r="G2" s="148" t="s">
        <v>4</v>
      </c>
      <c r="H2" s="302">
        <f>SUMIFS( 支出明細!E:E, 支出明細!D:D, E2, 支出明細!B:B, "&gt;=" &amp; DATEVALUE(K2 &amp; "/01"), 支出明細!B:B, "&lt;=" &amp; EOMONTH(DATEVALUE(M2 &amp; "/01"), 0) )</f>
        <v>72000</v>
      </c>
      <c r="I2" s="303"/>
      <c r="J2" s="149" t="s">
        <v>195</v>
      </c>
      <c r="K2" s="150" t="s">
        <v>185</v>
      </c>
      <c r="L2" s="151" t="s">
        <v>190</v>
      </c>
      <c r="M2" s="152" t="s">
        <v>191</v>
      </c>
    </row>
    <row r="3" spans="1:13" ht="13.5" customHeight="1">
      <c r="A3" s="153" t="s">
        <v>183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5"/>
    </row>
    <row r="4" spans="1:13" ht="13.5" customHeight="1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8"/>
    </row>
    <row r="5" spans="1:13" ht="13.5" customHeight="1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</row>
    <row r="6" spans="1:13" ht="13.5" customHeight="1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ht="13.5" customHeight="1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13.5" customHeight="1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8.75" customHeight="1">
      <c r="A9" s="156"/>
      <c r="B9" s="304" t="s">
        <v>196</v>
      </c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158"/>
    </row>
    <row r="10" spans="1:13" ht="18.75" customHeight="1">
      <c r="A10" s="156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158"/>
    </row>
    <row r="11" spans="1:13" ht="18.75" customHeight="1">
      <c r="A11" s="156"/>
      <c r="B11" s="157"/>
      <c r="C11" s="157"/>
      <c r="D11" s="159"/>
      <c r="E11" s="305" t="s">
        <v>187</v>
      </c>
      <c r="F11" s="305"/>
      <c r="G11" s="287" t="s">
        <v>4</v>
      </c>
      <c r="H11" s="288"/>
      <c r="I11" s="160" t="s">
        <v>186</v>
      </c>
      <c r="J11" s="157"/>
      <c r="K11" s="157"/>
      <c r="L11" s="157"/>
      <c r="M11" s="158"/>
    </row>
    <row r="12" spans="1:13" ht="18.75" customHeight="1">
      <c r="A12" s="156"/>
      <c r="B12" s="157"/>
      <c r="C12" s="157"/>
      <c r="D12" s="157"/>
      <c r="E12" s="297" t="s">
        <v>188</v>
      </c>
      <c r="F12" s="297"/>
      <c r="G12" s="289">
        <v>24000</v>
      </c>
      <c r="H12" s="290"/>
      <c r="I12" s="297" t="s">
        <v>189</v>
      </c>
      <c r="J12" s="157"/>
      <c r="K12" s="157"/>
      <c r="L12" s="157"/>
      <c r="M12" s="158"/>
    </row>
    <row r="13" spans="1:13" ht="18.75" customHeight="1">
      <c r="A13" s="156"/>
      <c r="B13" s="157"/>
      <c r="C13" s="157"/>
      <c r="D13" s="157"/>
      <c r="E13" s="297"/>
      <c r="F13" s="297"/>
      <c r="G13" s="291"/>
      <c r="H13" s="292"/>
      <c r="I13" s="297"/>
      <c r="J13" s="157"/>
      <c r="K13" s="157"/>
      <c r="L13" s="157"/>
      <c r="M13" s="158"/>
    </row>
    <row r="14" spans="1:13" ht="18.75" customHeight="1">
      <c r="A14" s="156"/>
      <c r="B14" s="157"/>
      <c r="C14" s="157"/>
      <c r="D14" s="157"/>
      <c r="E14" s="297" t="s">
        <v>192</v>
      </c>
      <c r="F14" s="297"/>
      <c r="G14" s="289">
        <v>24000</v>
      </c>
      <c r="H14" s="290"/>
      <c r="I14" s="297" t="s">
        <v>189</v>
      </c>
      <c r="J14" s="157"/>
      <c r="K14" s="157"/>
      <c r="L14" s="157"/>
      <c r="M14" s="158"/>
    </row>
    <row r="15" spans="1:13" ht="18.75" customHeight="1">
      <c r="A15" s="156"/>
      <c r="B15" s="157"/>
      <c r="C15" s="157"/>
      <c r="D15" s="157"/>
      <c r="E15" s="297"/>
      <c r="F15" s="297"/>
      <c r="G15" s="291"/>
      <c r="H15" s="292"/>
      <c r="I15" s="297"/>
      <c r="J15" s="157"/>
      <c r="K15" s="157"/>
      <c r="L15" s="157"/>
      <c r="M15" s="158"/>
    </row>
    <row r="16" spans="1:13" ht="18.75" customHeight="1">
      <c r="A16" s="156"/>
      <c r="B16" s="157"/>
      <c r="C16" s="157"/>
      <c r="D16" s="157"/>
      <c r="E16" s="297" t="s">
        <v>193</v>
      </c>
      <c r="F16" s="297"/>
      <c r="G16" s="289">
        <v>24000</v>
      </c>
      <c r="H16" s="290"/>
      <c r="I16" s="297" t="s">
        <v>189</v>
      </c>
      <c r="J16" s="157"/>
      <c r="K16" s="157"/>
      <c r="L16" s="157"/>
      <c r="M16" s="158"/>
    </row>
    <row r="17" spans="1:13" ht="18.75" customHeight="1">
      <c r="A17" s="156"/>
      <c r="B17" s="157"/>
      <c r="C17" s="157"/>
      <c r="D17" s="157"/>
      <c r="E17" s="297"/>
      <c r="F17" s="297"/>
      <c r="G17" s="291"/>
      <c r="H17" s="292"/>
      <c r="I17" s="297"/>
      <c r="J17" s="157"/>
      <c r="K17" s="157"/>
      <c r="L17" s="157"/>
      <c r="M17" s="158"/>
    </row>
    <row r="18" spans="1:13" ht="18.75" customHeight="1">
      <c r="A18" s="156"/>
      <c r="B18" s="157"/>
      <c r="C18" s="157"/>
      <c r="D18" s="157"/>
      <c r="E18" s="286"/>
      <c r="F18" s="286"/>
      <c r="G18" s="293"/>
      <c r="H18" s="294"/>
      <c r="I18" s="286"/>
      <c r="J18" s="157"/>
      <c r="K18" s="157"/>
      <c r="L18" s="157"/>
      <c r="M18" s="158"/>
    </row>
    <row r="19" spans="1:13" ht="18.75" customHeight="1">
      <c r="A19" s="156"/>
      <c r="B19" s="157"/>
      <c r="C19" s="157"/>
      <c r="D19" s="157"/>
      <c r="E19" s="286"/>
      <c r="F19" s="286"/>
      <c r="G19" s="295"/>
      <c r="H19" s="296"/>
      <c r="I19" s="286"/>
      <c r="J19" s="157"/>
      <c r="K19" s="157"/>
      <c r="L19" s="157"/>
      <c r="M19" s="158"/>
    </row>
    <row r="20" spans="1:13" ht="18.75" customHeight="1">
      <c r="A20" s="156"/>
      <c r="B20" s="157"/>
      <c r="C20" s="157"/>
      <c r="D20" s="157"/>
      <c r="E20" s="286"/>
      <c r="F20" s="286"/>
      <c r="G20" s="293"/>
      <c r="H20" s="294"/>
      <c r="I20" s="286"/>
      <c r="J20" s="157"/>
      <c r="K20" s="157"/>
      <c r="L20" s="157"/>
      <c r="M20" s="158"/>
    </row>
    <row r="21" spans="1:13" ht="18.75" customHeight="1">
      <c r="A21" s="156"/>
      <c r="B21" s="157"/>
      <c r="C21" s="157"/>
      <c r="D21" s="157"/>
      <c r="E21" s="286"/>
      <c r="F21" s="286"/>
      <c r="G21" s="295"/>
      <c r="H21" s="296"/>
      <c r="I21" s="286"/>
      <c r="J21" s="157"/>
      <c r="K21" s="157"/>
      <c r="L21" s="157"/>
      <c r="M21" s="158"/>
    </row>
    <row r="22" spans="1:13" ht="18.75" customHeight="1">
      <c r="A22" s="156"/>
      <c r="B22" s="157"/>
      <c r="C22" s="157"/>
      <c r="D22" s="157"/>
      <c r="E22" s="286"/>
      <c r="F22" s="286"/>
      <c r="G22" s="293"/>
      <c r="H22" s="294"/>
      <c r="I22" s="286"/>
      <c r="J22" s="157"/>
      <c r="K22" s="157"/>
      <c r="L22" s="157"/>
      <c r="M22" s="158"/>
    </row>
    <row r="23" spans="1:13" ht="18.75" customHeight="1">
      <c r="A23" s="156"/>
      <c r="B23" s="157"/>
      <c r="C23" s="157"/>
      <c r="D23" s="157"/>
      <c r="E23" s="286"/>
      <c r="F23" s="286"/>
      <c r="G23" s="295"/>
      <c r="H23" s="296"/>
      <c r="I23" s="286"/>
      <c r="J23" s="157"/>
      <c r="K23" s="157"/>
      <c r="L23" s="157"/>
      <c r="M23" s="158"/>
    </row>
    <row r="24" spans="1:13" ht="14.25" customHeight="1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8"/>
    </row>
    <row r="25" spans="1:13" ht="18.75" customHeigh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8"/>
    </row>
    <row r="26" spans="1:13" ht="18.75" customHeight="1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8"/>
    </row>
    <row r="27" spans="1:13" ht="18.75" customHeigh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8"/>
    </row>
    <row r="28" spans="1:13" ht="18.75" customHeight="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</row>
    <row r="29" spans="1:13" ht="18.75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8"/>
    </row>
    <row r="30" spans="1:13" ht="18.75" customHeight="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</row>
    <row r="31" spans="1:13" ht="18.75" customHeight="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8"/>
    </row>
    <row r="32" spans="1:13" ht="18.75" customHeight="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8"/>
    </row>
    <row r="33" spans="1:13" ht="18.75" customHeight="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8"/>
    </row>
    <row r="34" spans="1:13" ht="18.75" customHeight="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</row>
    <row r="35" spans="1:13" ht="18.75" customHeight="1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8"/>
    </row>
    <row r="36" spans="1:13" ht="18.75" customHeight="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8"/>
    </row>
    <row r="37" spans="1:13" ht="18.75" customHeight="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8"/>
    </row>
    <row r="38" spans="1:13" ht="18.75" customHeight="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8"/>
    </row>
    <row r="39" spans="1:13" ht="18.75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</row>
    <row r="40" spans="1:13" ht="18.75" customHeight="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8"/>
    </row>
    <row r="41" spans="1:13" ht="18.75" customHeight="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8"/>
    </row>
    <row r="42" spans="1:13" ht="18.75" customHeight="1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8"/>
    </row>
    <row r="43" spans="1:13" ht="18.75" customHeight="1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8"/>
    </row>
    <row r="44" spans="1:13" ht="18.75" customHeight="1">
      <c r="A44" s="156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8"/>
    </row>
    <row r="45" spans="1:13" ht="18.75" customHeight="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8"/>
    </row>
    <row r="46" spans="1:13" ht="18.75" customHeight="1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8"/>
    </row>
    <row r="47" spans="1:13" ht="18.75" customHeigh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8"/>
    </row>
    <row r="48" spans="1:13" ht="18.75" customHeight="1">
      <c r="A48" s="156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8"/>
    </row>
    <row r="49" spans="1:13" ht="18.75" customHeight="1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8"/>
    </row>
    <row r="50" spans="1:13" ht="18.75" customHeight="1" thickBot="1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8"/>
    </row>
    <row r="51" spans="1:13" ht="19.5" thickTop="1">
      <c r="A51" s="161" t="s">
        <v>184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</row>
    <row r="53" spans="1:13">
      <c r="A53" s="131"/>
    </row>
    <row r="54" spans="1:13" ht="21" customHeight="1"/>
    <row r="55" spans="1:13" ht="30.75" customHeight="1"/>
    <row r="117" customFormat="1" ht="21" customHeight="1"/>
    <row r="118" customFormat="1" ht="30.75" customHeight="1"/>
    <row r="180" customFormat="1" ht="21" customHeight="1"/>
    <row r="181" customFormat="1" ht="30.75" customHeight="1"/>
    <row r="182" customFormat="1" ht="13.5" customHeight="1"/>
  </sheetData>
  <sheetProtection algorithmName="SHA-512" hashValue="YHC+4EUKd/icdEbPEr660xMHJzk99ulpNBMWMjJFXGkA/ksPNs6FtqCcXAxHbSv5LbttrpiNRllPbq/Ot+s/Lw==" saltValue="tz0NjHC+MfOMsGYwUdQ9kA==" spinCount="100000" sheet="1" objects="1" scenarios="1"/>
  <mergeCells count="24">
    <mergeCell ref="E22:F23"/>
    <mergeCell ref="E11:F11"/>
    <mergeCell ref="E12:F13"/>
    <mergeCell ref="E14:F15"/>
    <mergeCell ref="E16:F17"/>
    <mergeCell ref="E18:F19"/>
    <mergeCell ref="E20:F21"/>
    <mergeCell ref="B2:C2"/>
    <mergeCell ref="E2:F2"/>
    <mergeCell ref="H2:I2"/>
    <mergeCell ref="I12:I13"/>
    <mergeCell ref="I14:I15"/>
    <mergeCell ref="B9:L10"/>
    <mergeCell ref="I22:I23"/>
    <mergeCell ref="G11:H11"/>
    <mergeCell ref="G12:H13"/>
    <mergeCell ref="G14:H15"/>
    <mergeCell ref="G16:H17"/>
    <mergeCell ref="G18:H19"/>
    <mergeCell ref="G20:H21"/>
    <mergeCell ref="G22:H23"/>
    <mergeCell ref="I16:I17"/>
    <mergeCell ref="I18:I19"/>
    <mergeCell ref="I20:I21"/>
  </mergeCells>
  <phoneticPr fontId="1"/>
  <pageMargins left="0.23622047244094491" right="0.23622047244094491" top="0.15748031496062992" bottom="0.15748031496062992" header="0.31496062992125984" footer="0.31496062992125984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D136A7-C260-4387-8B73-0AD87D2993A2}">
          <x14:formula1>
            <xm:f>Sheet1!$A$1:$A$4</xm:f>
          </x14:formula1>
          <xm:sqref>B2:C2</xm:sqref>
        </x14:dataValidation>
        <x14:dataValidation type="list" allowBlank="1" showInputMessage="1" showErrorMessage="1" xr:uid="{C6853F9F-0A51-4D4C-A46D-5DA31DAE65E8}">
          <x14:formula1>
            <xm:f>Sheet1!$B$1:$B$19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AB47-167B-4EA0-97B0-816AB93F7438}">
  <dimension ref="A1:M179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43" t="s">
        <v>181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ht="30.75" customHeight="1" thickTop="1">
      <c r="A2" s="146" t="s">
        <v>182</v>
      </c>
      <c r="B2" s="298" t="s">
        <v>5</v>
      </c>
      <c r="C2" s="299"/>
      <c r="D2" s="147" t="s">
        <v>194</v>
      </c>
      <c r="E2" s="300" t="s">
        <v>12</v>
      </c>
      <c r="F2" s="301"/>
      <c r="G2" s="148" t="s">
        <v>4</v>
      </c>
      <c r="H2" s="306">
        <f>SUMIFS( 支出明細!E:E, 支出明細!D:D, E2, 支出明細!B:B, "&gt;=" &amp; DATEVALUE(K2 &amp; "/01"), 支出明細!B:B, "&lt;=" &amp; EOMONTH(DATEVALUE(M2 &amp; "/01"), 0) )</f>
        <v>30200</v>
      </c>
      <c r="I2" s="307"/>
      <c r="J2" s="149" t="s">
        <v>195</v>
      </c>
      <c r="K2" s="150" t="s">
        <v>185</v>
      </c>
      <c r="L2" s="151" t="s">
        <v>190</v>
      </c>
      <c r="M2" s="152" t="s">
        <v>191</v>
      </c>
    </row>
    <row r="3" spans="1:13" ht="13.5" customHeight="1">
      <c r="A3" s="153" t="s">
        <v>183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5"/>
    </row>
    <row r="4" spans="1:13" ht="18.75" customHeight="1">
      <c r="A4" s="156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162"/>
      <c r="M4" s="158"/>
    </row>
    <row r="5" spans="1:13" ht="18.75" customHeight="1">
      <c r="A5" s="156"/>
      <c r="B5" s="157"/>
      <c r="C5" s="157"/>
      <c r="D5" s="159"/>
      <c r="E5" s="163"/>
      <c r="F5" s="163"/>
      <c r="G5" s="163"/>
      <c r="H5" s="163"/>
      <c r="I5" s="162"/>
      <c r="J5" s="157"/>
      <c r="K5" s="157"/>
      <c r="L5" s="157"/>
      <c r="M5" s="158"/>
    </row>
    <row r="6" spans="1:13" ht="18.75" customHeight="1">
      <c r="A6" s="156"/>
      <c r="B6" s="157"/>
      <c r="C6" s="157"/>
      <c r="D6" s="157"/>
      <c r="E6" s="164"/>
      <c r="F6" s="164"/>
      <c r="G6" s="165"/>
      <c r="H6" s="164"/>
      <c r="I6" s="164"/>
      <c r="J6" s="157"/>
      <c r="K6" s="157"/>
      <c r="L6" s="157"/>
      <c r="M6" s="158"/>
    </row>
    <row r="7" spans="1:13" ht="18.75" customHeight="1">
      <c r="A7" s="156"/>
      <c r="B7" s="157"/>
      <c r="C7" s="157"/>
      <c r="D7" s="157"/>
      <c r="E7" s="164"/>
      <c r="F7" s="164"/>
      <c r="G7" s="164"/>
      <c r="H7" s="164"/>
      <c r="I7" s="164"/>
      <c r="J7" s="157"/>
      <c r="K7" s="157"/>
      <c r="L7" s="157"/>
      <c r="M7" s="158"/>
    </row>
    <row r="8" spans="1:13" ht="18.75" customHeight="1">
      <c r="A8" s="156"/>
      <c r="B8" s="157"/>
      <c r="C8" s="157"/>
      <c r="D8" s="157"/>
      <c r="E8" s="164"/>
      <c r="F8" s="164"/>
      <c r="G8" s="165"/>
      <c r="H8" s="164"/>
      <c r="I8" s="164"/>
      <c r="J8" s="157"/>
      <c r="K8" s="157"/>
      <c r="L8" s="157"/>
      <c r="M8" s="158"/>
    </row>
    <row r="9" spans="1:13" ht="18.75" customHeight="1">
      <c r="A9" s="156"/>
      <c r="B9" s="157"/>
      <c r="C9" s="157"/>
      <c r="D9" s="157"/>
      <c r="E9" s="164"/>
      <c r="F9" s="164"/>
      <c r="G9" s="164"/>
      <c r="H9" s="164"/>
      <c r="I9" s="164"/>
      <c r="J9" s="157"/>
      <c r="K9" s="157"/>
      <c r="L9" s="157"/>
      <c r="M9" s="158"/>
    </row>
    <row r="10" spans="1:13" ht="18.75" customHeight="1">
      <c r="A10" s="156"/>
      <c r="B10" s="157"/>
      <c r="C10" s="157"/>
      <c r="D10" s="157"/>
      <c r="E10" s="164"/>
      <c r="F10" s="164"/>
      <c r="G10" s="165"/>
      <c r="H10" s="164"/>
      <c r="I10" s="164"/>
      <c r="J10" s="157"/>
      <c r="K10" s="157"/>
      <c r="L10" s="157"/>
      <c r="M10" s="158"/>
    </row>
    <row r="11" spans="1:13" ht="18.75" customHeight="1">
      <c r="A11" s="156"/>
      <c r="B11" s="157"/>
      <c r="C11" s="157"/>
      <c r="D11" s="157"/>
      <c r="E11" s="164"/>
      <c r="F11" s="164"/>
      <c r="G11" s="164"/>
      <c r="H11" s="164"/>
      <c r="I11" s="164"/>
      <c r="J11" s="157"/>
      <c r="K11" s="157"/>
      <c r="L11" s="157"/>
      <c r="M11" s="158"/>
    </row>
    <row r="12" spans="1:13" ht="18.75" customHeight="1">
      <c r="A12" s="156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8"/>
    </row>
    <row r="13" spans="1:13" ht="18.75" customHeight="1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8"/>
    </row>
    <row r="14" spans="1:13" ht="18.75" customHeight="1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8"/>
    </row>
    <row r="15" spans="1:13" ht="18.75" customHeight="1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8"/>
    </row>
    <row r="16" spans="1:13" ht="18.75" customHeight="1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8"/>
    </row>
    <row r="17" spans="1:13" ht="18.75" customHeight="1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8"/>
    </row>
    <row r="18" spans="1:13" ht="14.25" customHeight="1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8"/>
    </row>
    <row r="19" spans="1:13" ht="18.75" customHeight="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8"/>
    </row>
    <row r="20" spans="1:13" ht="18.75" customHeight="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8"/>
    </row>
    <row r="21" spans="1:13" ht="18.75" customHeight="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8"/>
    </row>
    <row r="22" spans="1:13" ht="18.75" customHeight="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8"/>
    </row>
    <row r="23" spans="1:13" ht="18.75" customHeight="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8"/>
    </row>
    <row r="24" spans="1:13" ht="18.75" customHeight="1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8"/>
    </row>
    <row r="25" spans="1:13" ht="18.75" customHeigh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8"/>
    </row>
    <row r="26" spans="1:13" ht="18.75" customHeight="1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8"/>
    </row>
    <row r="27" spans="1:13" ht="18.75" customHeigh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8"/>
    </row>
    <row r="28" spans="1:13" ht="18.75" customHeight="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</row>
    <row r="29" spans="1:13" ht="18.75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8"/>
    </row>
    <row r="30" spans="1:13" ht="18.75" customHeight="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</row>
    <row r="31" spans="1:13" ht="18.75" customHeight="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8"/>
    </row>
    <row r="32" spans="1:13" ht="18.75" customHeight="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8"/>
    </row>
    <row r="33" spans="1:13" ht="18.75" customHeight="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8"/>
    </row>
    <row r="34" spans="1:13" ht="18.75" customHeight="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</row>
    <row r="35" spans="1:13" ht="18.75" customHeight="1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8"/>
    </row>
    <row r="36" spans="1:13" ht="18.75" customHeight="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8"/>
    </row>
    <row r="37" spans="1:13" ht="18.75" customHeight="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8"/>
    </row>
    <row r="38" spans="1:13" ht="18.75" customHeight="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8"/>
    </row>
    <row r="39" spans="1:13" ht="18.75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</row>
    <row r="40" spans="1:13" ht="18.75" customHeight="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8"/>
    </row>
    <row r="41" spans="1:13" ht="18.75" customHeight="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8"/>
    </row>
    <row r="42" spans="1:13" ht="18.75" customHeight="1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8"/>
    </row>
    <row r="43" spans="1:13" ht="18.75" customHeight="1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8"/>
    </row>
    <row r="44" spans="1:13" ht="18.75" customHeight="1">
      <c r="A44" s="156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8"/>
    </row>
    <row r="45" spans="1:13" ht="18.75" customHeight="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8"/>
    </row>
    <row r="46" spans="1:13" ht="18.75" customHeight="1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8"/>
    </row>
    <row r="47" spans="1:13" ht="18.75" customHeight="1" thickBo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8"/>
    </row>
    <row r="48" spans="1:13" ht="19.5" thickTop="1">
      <c r="A48" s="161" t="s">
        <v>184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</row>
    <row r="50" spans="1:1">
      <c r="A50" s="131"/>
    </row>
    <row r="51" spans="1:1" ht="21" customHeight="1"/>
    <row r="52" spans="1:1" ht="30.75" customHeight="1"/>
    <row r="114" ht="21" customHeight="1"/>
    <row r="115" ht="30.75" customHeight="1"/>
    <row r="177" ht="21" customHeight="1"/>
    <row r="178" ht="30.75" customHeight="1"/>
    <row r="179" ht="13.5" customHeight="1"/>
  </sheetData>
  <sheetProtection algorithmName="SHA-512" hashValue="4MXrfySop8eNRor0piAHSkuZhDYz0yYMUFisykx/egizvLS3zBtlpD7Jac/T6ag1g38cMvwTp8oV6Axyv+xPDQ==" saltValue="8pBNZQuhlAZ5joZ8BAUiyg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35433070866141736" bottom="0.35433070866141736" header="0.31496062992125984" footer="0.31496062992125984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F6E9C6-FA17-4C3F-A957-4AD9B1AAE401}">
          <x14:formula1>
            <xm:f>Sheet1!$B$1:$B$19</xm:f>
          </x14:formula1>
          <xm:sqref>E2:F2</xm:sqref>
        </x14:dataValidation>
        <x14:dataValidation type="list" allowBlank="1" showInputMessage="1" showErrorMessage="1" xr:uid="{44A699EF-BD0A-4774-9ABD-5956C1405861}">
          <x14:formula1>
            <xm:f>Sheet1!$A$1:$A$4</xm:f>
          </x14:formula1>
          <xm:sqref>B2:C2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B95F-C241-4A31-84D5-04FBB747E934}">
  <dimension ref="A1:G19"/>
  <sheetViews>
    <sheetView workbookViewId="0"/>
  </sheetViews>
  <sheetFormatPr defaultRowHeight="18.75"/>
  <cols>
    <col min="1" max="1" width="13" bestFit="1" customWidth="1"/>
  </cols>
  <sheetData>
    <row r="1" spans="1:7">
      <c r="A1" s="3" t="s">
        <v>5</v>
      </c>
      <c r="B1" s="2" t="s">
        <v>10</v>
      </c>
    </row>
    <row r="2" spans="1:7">
      <c r="A2" s="3" t="s">
        <v>6</v>
      </c>
      <c r="B2" s="2" t="s">
        <v>9</v>
      </c>
    </row>
    <row r="3" spans="1:7">
      <c r="A3" s="3" t="s">
        <v>7</v>
      </c>
      <c r="B3" s="2" t="s">
        <v>11</v>
      </c>
      <c r="G3" s="2"/>
    </row>
    <row r="4" spans="1:7">
      <c r="A4" s="3" t="s">
        <v>8</v>
      </c>
      <c r="B4" s="2" t="s">
        <v>12</v>
      </c>
    </row>
    <row r="5" spans="1:7">
      <c r="B5" s="2" t="s">
        <v>13</v>
      </c>
    </row>
    <row r="6" spans="1:7">
      <c r="B6" s="2" t="s">
        <v>133</v>
      </c>
    </row>
    <row r="7" spans="1:7">
      <c r="B7" s="2" t="s">
        <v>134</v>
      </c>
    </row>
    <row r="8" spans="1:7">
      <c r="B8" s="2" t="s">
        <v>135</v>
      </c>
    </row>
    <row r="9" spans="1:7">
      <c r="B9" s="2" t="s">
        <v>14</v>
      </c>
    </row>
    <row r="10" spans="1:7">
      <c r="B10" s="2" t="s">
        <v>15</v>
      </c>
    </row>
    <row r="11" spans="1:7">
      <c r="B11" s="2" t="s">
        <v>16</v>
      </c>
    </row>
    <row r="12" spans="1:7">
      <c r="B12" s="2" t="s">
        <v>17</v>
      </c>
    </row>
    <row r="13" spans="1:7">
      <c r="B13" s="2" t="s">
        <v>18</v>
      </c>
    </row>
    <row r="14" spans="1:7">
      <c r="B14" s="2" t="s">
        <v>19</v>
      </c>
    </row>
    <row r="15" spans="1:7">
      <c r="B15" s="2" t="s">
        <v>20</v>
      </c>
    </row>
    <row r="16" spans="1:7">
      <c r="B16" s="2" t="s">
        <v>136</v>
      </c>
      <c r="E16" s="2"/>
    </row>
    <row r="17" spans="2:2">
      <c r="B17" s="2" t="s">
        <v>21</v>
      </c>
    </row>
    <row r="18" spans="2:2">
      <c r="B18" s="2" t="s">
        <v>22</v>
      </c>
    </row>
    <row r="19" spans="2:2">
      <c r="B19" s="5" t="s">
        <v>23</v>
      </c>
    </row>
  </sheetData>
  <sheetProtection algorithmName="SHA-512" hashValue="7ddqVruu5Zlypty46hP7vb+SoWfT9V3sTSBnS91ZGdp2zWrLSZ87NP5107tWGuzKddxUzysN0DVtZjSiHglW5Q==" saltValue="LqnjsqBaTKRtPHNCpmJUK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koreird43</cp:lastModifiedBy>
  <cp:lastPrinted>2026-02-05T05:32:14Z</cp:lastPrinted>
  <dcterms:created xsi:type="dcterms:W3CDTF">2025-09-30T09:01:20Z</dcterms:created>
  <dcterms:modified xsi:type="dcterms:W3CDTF">2026-02-05T06:50:47Z</dcterms:modified>
</cp:coreProperties>
</file>